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showInkAnnotation="0"/>
  <mc:AlternateContent xmlns:mc="http://schemas.openxmlformats.org/markup-compatibility/2006">
    <mc:Choice Requires="x15">
      <x15ac:absPath xmlns:x15ac="http://schemas.microsoft.com/office/spreadsheetml/2010/11/ac" url="/Users/benjaminpeterson/Documents/Graduate.School/Classes/1st.Semester/Sapelo/Diebacks/Data/"/>
    </mc:Choice>
  </mc:AlternateContent>
  <bookViews>
    <workbookView xWindow="280" yWindow="460" windowWidth="15420" windowHeight="14440" tabRatio="500" activeTab="1"/>
  </bookViews>
  <sheets>
    <sheet name="Metadata" sheetId="2" r:id="rId1"/>
    <sheet name="sapelo_field_data_soil_data.csv" sheetId="1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M2" i="1"/>
  <c r="N2" i="1"/>
  <c r="G3" i="1"/>
  <c r="G4" i="1"/>
  <c r="G29" i="1"/>
  <c r="G30" i="1"/>
  <c r="G31" i="1"/>
  <c r="G5" i="1"/>
  <c r="G6" i="1"/>
  <c r="G7" i="1"/>
  <c r="G32" i="1"/>
  <c r="G33" i="1"/>
  <c r="G34" i="1"/>
  <c r="G8" i="1"/>
  <c r="G9" i="1"/>
  <c r="G10" i="1"/>
  <c r="G35" i="1"/>
  <c r="G37" i="1"/>
  <c r="G11" i="1"/>
  <c r="G12" i="1"/>
  <c r="G13" i="1"/>
  <c r="G38" i="1"/>
  <c r="G39" i="1"/>
  <c r="G40" i="1"/>
  <c r="G14" i="1"/>
  <c r="G15" i="1"/>
  <c r="G41" i="1"/>
  <c r="G42" i="1"/>
  <c r="G43" i="1"/>
  <c r="G17" i="1"/>
  <c r="G18" i="1"/>
  <c r="G19" i="1"/>
  <c r="G44" i="1"/>
  <c r="G45" i="1"/>
  <c r="G46" i="1"/>
  <c r="G20" i="1"/>
  <c r="G21" i="1"/>
  <c r="G22" i="1"/>
  <c r="G47" i="1"/>
  <c r="G48" i="1"/>
  <c r="G49" i="1"/>
  <c r="G23" i="1"/>
  <c r="G24" i="1"/>
  <c r="G25" i="1"/>
  <c r="G50" i="1"/>
  <c r="G51" i="1"/>
  <c r="G52" i="1"/>
  <c r="G26" i="1"/>
  <c r="G27" i="1"/>
  <c r="G28" i="1"/>
  <c r="G53" i="1"/>
  <c r="G54" i="1"/>
  <c r="G55" i="1"/>
  <c r="J2" i="1"/>
  <c r="O2" i="1"/>
  <c r="M41" i="1"/>
  <c r="N41" i="1"/>
  <c r="M37" i="1"/>
  <c r="N37" i="1"/>
  <c r="M11" i="1"/>
  <c r="N11" i="1"/>
  <c r="M12" i="1"/>
  <c r="N12" i="1"/>
  <c r="M13" i="1"/>
  <c r="N13" i="1"/>
  <c r="M38" i="1"/>
  <c r="N38" i="1"/>
  <c r="M39" i="1"/>
  <c r="N39" i="1"/>
  <c r="M40" i="1"/>
  <c r="N40" i="1"/>
  <c r="M14" i="1"/>
  <c r="N14" i="1"/>
  <c r="M15" i="1"/>
  <c r="N15" i="1"/>
  <c r="N16" i="1"/>
  <c r="M42" i="1"/>
  <c r="N42" i="1"/>
  <c r="M43" i="1"/>
  <c r="N43" i="1"/>
  <c r="M17" i="1"/>
  <c r="N17" i="1"/>
  <c r="M18" i="1"/>
  <c r="N18" i="1"/>
  <c r="M19" i="1"/>
  <c r="N19" i="1"/>
  <c r="M44" i="1"/>
  <c r="N44" i="1"/>
  <c r="M45" i="1"/>
  <c r="N45" i="1"/>
  <c r="M46" i="1"/>
  <c r="N46" i="1"/>
  <c r="M20" i="1"/>
  <c r="N20" i="1"/>
  <c r="M21" i="1"/>
  <c r="N21" i="1"/>
  <c r="M22" i="1"/>
  <c r="N22" i="1"/>
  <c r="M47" i="1"/>
  <c r="N47" i="1"/>
  <c r="M48" i="1"/>
  <c r="N48" i="1"/>
  <c r="M49" i="1"/>
  <c r="N49" i="1"/>
  <c r="M23" i="1"/>
  <c r="N23" i="1"/>
  <c r="M24" i="1"/>
  <c r="N24" i="1"/>
  <c r="M25" i="1"/>
  <c r="N25" i="1"/>
  <c r="M50" i="1"/>
  <c r="N50" i="1"/>
  <c r="M51" i="1"/>
  <c r="N51" i="1"/>
  <c r="M52" i="1"/>
  <c r="N52" i="1"/>
  <c r="M26" i="1"/>
  <c r="N26" i="1"/>
  <c r="M27" i="1"/>
  <c r="N27" i="1"/>
  <c r="M28" i="1"/>
  <c r="N28" i="1"/>
  <c r="M53" i="1"/>
  <c r="N53" i="1"/>
  <c r="M54" i="1"/>
  <c r="N54" i="1"/>
  <c r="M55" i="1"/>
  <c r="N55" i="1"/>
  <c r="M3" i="1"/>
  <c r="N3" i="1"/>
  <c r="M4" i="1"/>
  <c r="N4" i="1"/>
  <c r="M29" i="1"/>
  <c r="N29" i="1"/>
  <c r="M30" i="1"/>
  <c r="N30" i="1"/>
  <c r="M31" i="1"/>
  <c r="N31" i="1"/>
  <c r="M5" i="1"/>
  <c r="N5" i="1"/>
  <c r="M6" i="1"/>
  <c r="N6" i="1"/>
  <c r="M7" i="1"/>
  <c r="N7" i="1"/>
  <c r="M32" i="1"/>
  <c r="N32" i="1"/>
  <c r="M33" i="1"/>
  <c r="N33" i="1"/>
  <c r="M34" i="1"/>
  <c r="N34" i="1"/>
  <c r="M8" i="1"/>
  <c r="N8" i="1"/>
  <c r="M9" i="1"/>
  <c r="N9" i="1"/>
  <c r="M10" i="1"/>
  <c r="N10" i="1"/>
  <c r="M35" i="1"/>
  <c r="N35" i="1"/>
  <c r="N36" i="1"/>
  <c r="J24" i="1"/>
  <c r="O24" i="1"/>
  <c r="J3" i="1"/>
  <c r="O3" i="1"/>
  <c r="J4" i="1"/>
  <c r="O4" i="1"/>
  <c r="J29" i="1"/>
  <c r="O29" i="1"/>
  <c r="J30" i="1"/>
  <c r="O30" i="1"/>
  <c r="J31" i="1"/>
  <c r="O31" i="1"/>
  <c r="J5" i="1"/>
  <c r="O5" i="1"/>
  <c r="J6" i="1"/>
  <c r="O6" i="1"/>
  <c r="J7" i="1"/>
  <c r="O7" i="1"/>
  <c r="J32" i="1"/>
  <c r="O32" i="1"/>
  <c r="J33" i="1"/>
  <c r="O33" i="1"/>
  <c r="J34" i="1"/>
  <c r="O34" i="1"/>
  <c r="J8" i="1"/>
  <c r="O8" i="1"/>
  <c r="J9" i="1"/>
  <c r="O9" i="1"/>
  <c r="J10" i="1"/>
  <c r="O10" i="1"/>
  <c r="J35" i="1"/>
  <c r="O35" i="1"/>
  <c r="M36" i="1"/>
  <c r="J36" i="1"/>
  <c r="O36" i="1"/>
  <c r="J37" i="1"/>
  <c r="O37" i="1"/>
  <c r="J11" i="1"/>
  <c r="O11" i="1"/>
  <c r="J12" i="1"/>
  <c r="O12" i="1"/>
  <c r="J13" i="1"/>
  <c r="O13" i="1"/>
  <c r="J38" i="1"/>
  <c r="O38" i="1"/>
  <c r="J39" i="1"/>
  <c r="O39" i="1"/>
  <c r="J40" i="1"/>
  <c r="O40" i="1"/>
  <c r="J14" i="1"/>
  <c r="O14" i="1"/>
  <c r="J15" i="1"/>
  <c r="O15" i="1"/>
  <c r="M16" i="1"/>
  <c r="J16" i="1"/>
  <c r="O16" i="1"/>
  <c r="J41" i="1"/>
  <c r="O41" i="1"/>
  <c r="J42" i="1"/>
  <c r="O42" i="1"/>
  <c r="J43" i="1"/>
  <c r="O43" i="1"/>
  <c r="J17" i="1"/>
  <c r="O17" i="1"/>
  <c r="J18" i="1"/>
  <c r="O18" i="1"/>
  <c r="J19" i="1"/>
  <c r="O19" i="1"/>
  <c r="J44" i="1"/>
  <c r="O44" i="1"/>
  <c r="J45" i="1"/>
  <c r="O45" i="1"/>
  <c r="J46" i="1"/>
  <c r="O46" i="1"/>
  <c r="J20" i="1"/>
  <c r="O20" i="1"/>
  <c r="J21" i="1"/>
  <c r="O21" i="1"/>
  <c r="J22" i="1"/>
  <c r="O22" i="1"/>
  <c r="J47" i="1"/>
  <c r="O47" i="1"/>
  <c r="J48" i="1"/>
  <c r="O48" i="1"/>
  <c r="J49" i="1"/>
  <c r="O49" i="1"/>
  <c r="J23" i="1"/>
  <c r="O23" i="1"/>
  <c r="J25" i="1"/>
  <c r="O25" i="1"/>
  <c r="J50" i="1"/>
  <c r="O50" i="1"/>
  <c r="J51" i="1"/>
  <c r="O51" i="1"/>
  <c r="J52" i="1"/>
  <c r="O52" i="1"/>
  <c r="J26" i="1"/>
  <c r="O26" i="1"/>
  <c r="J27" i="1"/>
  <c r="O27" i="1"/>
  <c r="J28" i="1"/>
  <c r="O28" i="1"/>
  <c r="J53" i="1"/>
  <c r="O53" i="1"/>
  <c r="J54" i="1"/>
  <c r="O54" i="1"/>
  <c r="J55" i="1"/>
  <c r="O55" i="1"/>
  <c r="K36" i="1"/>
  <c r="K16" i="1"/>
  <c r="K3" i="1"/>
  <c r="K4" i="1"/>
  <c r="K29" i="1"/>
  <c r="K30" i="1"/>
  <c r="K31" i="1"/>
  <c r="K5" i="1"/>
  <c r="K6" i="1"/>
  <c r="K7" i="1"/>
  <c r="K32" i="1"/>
  <c r="K33" i="1"/>
  <c r="K34" i="1"/>
  <c r="K8" i="1"/>
  <c r="K9" i="1"/>
  <c r="K10" i="1"/>
  <c r="K35" i="1"/>
  <c r="K37" i="1"/>
  <c r="K11" i="1"/>
  <c r="K12" i="1"/>
  <c r="K13" i="1"/>
  <c r="K38" i="1"/>
  <c r="K39" i="1"/>
  <c r="K40" i="1"/>
  <c r="K14" i="1"/>
  <c r="K15" i="1"/>
  <c r="K41" i="1"/>
  <c r="K42" i="1"/>
  <c r="K43" i="1"/>
  <c r="K17" i="1"/>
  <c r="K18" i="1"/>
  <c r="K19" i="1"/>
  <c r="K44" i="1"/>
  <c r="K45" i="1"/>
  <c r="K46" i="1"/>
  <c r="K20" i="1"/>
  <c r="K21" i="1"/>
  <c r="K22" i="1"/>
  <c r="K47" i="1"/>
  <c r="K48" i="1"/>
  <c r="K49" i="1"/>
  <c r="K23" i="1"/>
  <c r="K24" i="1"/>
  <c r="K25" i="1"/>
  <c r="K50" i="1"/>
  <c r="K51" i="1"/>
  <c r="K52" i="1"/>
  <c r="K26" i="1"/>
  <c r="K27" i="1"/>
  <c r="K28" i="1"/>
  <c r="K53" i="1"/>
  <c r="K54" i="1"/>
  <c r="K55" i="1"/>
  <c r="K2" i="1"/>
</calcChain>
</file>

<file path=xl/sharedStrings.xml><?xml version="1.0" encoding="utf-8"?>
<sst xmlns="http://schemas.openxmlformats.org/spreadsheetml/2006/main" count="273" uniqueCount="72">
  <si>
    <t>site</t>
  </si>
  <si>
    <t>marsh</t>
  </si>
  <si>
    <t>DC</t>
  </si>
  <si>
    <t>ODB</t>
  </si>
  <si>
    <t>DB</t>
  </si>
  <si>
    <t>NE</t>
  </si>
  <si>
    <t>ODUM</t>
  </si>
  <si>
    <t>quad</t>
  </si>
  <si>
    <t>status.2011</t>
  </si>
  <si>
    <t>Description of columns</t>
  </si>
  <si>
    <t>General location of sites</t>
  </si>
  <si>
    <t>Location corresponding to GPS coordinates</t>
  </si>
  <si>
    <t>Classification of the site by Crawford et al 2011 report.</t>
  </si>
  <si>
    <t xml:space="preserve">Quadrats were 0.5m by 0.5m.  </t>
  </si>
  <si>
    <t>ODUM = Odum's Marsh</t>
  </si>
  <si>
    <t>DB = dieback</t>
  </si>
  <si>
    <t>At GPS locations of site, I outlined a "site" that exhibited relatively similar characteristics to the exact GPS location.</t>
  </si>
  <si>
    <t>DC = Dean's Creek</t>
  </si>
  <si>
    <t>ODB = outside dieback (healthy control plot)</t>
  </si>
  <si>
    <t>Once site was defined, I threw the quadrat 3 times in varying directions but within the defined site.</t>
  </si>
  <si>
    <t>NE = Northeast part of Dean's Creeks (northeast of the bridge)</t>
  </si>
  <si>
    <t>Units = cm^3</t>
  </si>
  <si>
    <t>Units = grams</t>
  </si>
  <si>
    <t>Same as in Crawford et al report from 2011, except that I describe ODUM 1 and ODUM 2 as 10 and 11</t>
  </si>
  <si>
    <t>Mass of soil sample and foil together, before drying it</t>
  </si>
  <si>
    <t>I took one soil core from just outside of each of the quadrats</t>
  </si>
  <si>
    <t>I "cored" the soil by using a shovel to cut straight down into soil to cut out a block ~10-15cm long, ~6-10cm wide and ~10 cm deep.</t>
  </si>
  <si>
    <t>I removed the sample by cutting through soil at an angle to sever the roots, then gently removed sample by lifting up on Spartina shoot when possible.  When not possible, I dug out a small area around the sample and gently lifted the core out and slid it into a plastic ziploc bag</t>
  </si>
  <si>
    <t>Back in the lab, I cut the soil sample into a cuboid, applying pressure as little as possible to maintain volume.</t>
  </si>
  <si>
    <t>The top of the cuboid was ~1 cm above the root layer.  This was done to avoid the varying levels of mud over the root layer</t>
  </si>
  <si>
    <t>Samples were partially dried at UGAMI, but due to incomplete drying, they came back to Wisconsin and the rest of the analysis was done here.</t>
  </si>
  <si>
    <t>Samples were fully dried back at UW-Madison.  They were dried at 60˚C for 5 days</t>
  </si>
  <si>
    <t>Calculated by subtracting the mass of the foil from the total mass of the sample after drying</t>
  </si>
  <si>
    <t>Calculated by subtracting the mass of the foil from the total mass of the sample before drying</t>
  </si>
  <si>
    <t>density_pre</t>
  </si>
  <si>
    <t>Units = g/cm^3</t>
  </si>
  <si>
    <t>.=6.5*5.75</t>
  </si>
  <si>
    <t>.=5.75*5.5*___</t>
  </si>
  <si>
    <t>mass_sample_post</t>
  </si>
  <si>
    <t>mass_sample_pre</t>
  </si>
  <si>
    <t>mass_total_post</t>
  </si>
  <si>
    <t>mass_total_pre</t>
  </si>
  <si>
    <t>mass_foil</t>
  </si>
  <si>
    <t>volume</t>
  </si>
  <si>
    <t>bulk_density</t>
  </si>
  <si>
    <t>water_content</t>
  </si>
  <si>
    <t>growth</t>
  </si>
  <si>
    <t>L</t>
  </si>
  <si>
    <t>H</t>
  </si>
  <si>
    <t>mass of the foil on which the samples were weighed</t>
  </si>
  <si>
    <t>.= (mass_sample_post) / (volume)</t>
  </si>
  <si>
    <t>.= (mass_sample_pre) / (volume)</t>
  </si>
  <si>
    <t>Units = %</t>
  </si>
  <si>
    <t>. = (mass_sample_pre  - mass_sample_post) / (mass_sample_pre)</t>
  </si>
  <si>
    <t>This is a calculation of the percentage of the original mass of the sample was due to water</t>
  </si>
  <si>
    <t>SP</t>
  </si>
  <si>
    <t>When plotting the average percent coverage for the sites, two clusters emerged from the sites formerly classified as diebacks.  About half of the plots had ~30% cover, and the others were ~50.  I divided the sites into three catagories, H (high growth, &gt;45% coverage) and L (low growth, &lt;45% coverage).  The third catagory is SP, indicating the presence of salt pickle</t>
  </si>
  <si>
    <t>site.status</t>
  </si>
  <si>
    <t>1DB</t>
  </si>
  <si>
    <t>1ODB</t>
  </si>
  <si>
    <t>2DB</t>
  </si>
  <si>
    <t>2ODB</t>
  </si>
  <si>
    <t>3DB</t>
  </si>
  <si>
    <t>3ODB</t>
  </si>
  <si>
    <t>4DB</t>
  </si>
  <si>
    <t>4ODB</t>
  </si>
  <si>
    <t>5DB</t>
  </si>
  <si>
    <t>5ODB</t>
  </si>
  <si>
    <t>6DB</t>
  </si>
  <si>
    <t>6ODB</t>
  </si>
  <si>
    <t>7DB</t>
  </si>
  <si>
    <t>7ODB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</si>
</sst>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2" fontId="1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Location</a:t>
            </a:r>
            <a:r>
              <a:rPr lang="en-US" baseline="0"/>
              <a:t> Influences Bulk Density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400481189851"/>
          <c:y val="0.137544026671537"/>
          <c:w val="0.806155074365704"/>
          <c:h val="0.722607522864349"/>
        </c:manualLayout>
      </c:layout>
      <c:scatterChart>
        <c:scatterStyle val="lineMarker"/>
        <c:varyColors val="0"/>
        <c:ser>
          <c:idx val="0"/>
          <c:order val="0"/>
          <c:tx>
            <c:v>Bulk DB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sapelo_field_data_soil_data.csv!$B$2:$B$22</c:f>
              <c:numCache>
                <c:formatCode>General</c:formatCode>
                <c:ptCount val="2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6.0</c:v>
                </c:pt>
                <c:pt idx="16">
                  <c:v>6.0</c:v>
                </c:pt>
                <c:pt idx="17">
                  <c:v>6.0</c:v>
                </c:pt>
                <c:pt idx="18">
                  <c:v>7.0</c:v>
                </c:pt>
                <c:pt idx="19">
                  <c:v>7.0</c:v>
                </c:pt>
                <c:pt idx="20">
                  <c:v>7.0</c:v>
                </c:pt>
              </c:numCache>
            </c:numRef>
          </c:xVal>
          <c:yVal>
            <c:numRef>
              <c:f>sapelo_field_data_soil_data.csv!$N$2:$N$22</c:f>
              <c:numCache>
                <c:formatCode>0.00</c:formatCode>
                <c:ptCount val="21"/>
                <c:pt idx="0">
                  <c:v>0.902895365504061</c:v>
                </c:pt>
                <c:pt idx="1">
                  <c:v>0.699883040935672</c:v>
                </c:pt>
                <c:pt idx="2">
                  <c:v>0.89287619047619</c:v>
                </c:pt>
                <c:pt idx="3">
                  <c:v>0.398057594579334</c:v>
                </c:pt>
                <c:pt idx="4">
                  <c:v>0.639567275185936</c:v>
                </c:pt>
                <c:pt idx="5">
                  <c:v>0.577662337662338</c:v>
                </c:pt>
                <c:pt idx="6">
                  <c:v>0.666909090909091</c:v>
                </c:pt>
                <c:pt idx="7">
                  <c:v>0.437955555555556</c:v>
                </c:pt>
                <c:pt idx="8">
                  <c:v>0.54006734006734</c:v>
                </c:pt>
                <c:pt idx="9">
                  <c:v>0.532512820512821</c:v>
                </c:pt>
                <c:pt idx="10">
                  <c:v>0.550096153846154</c:v>
                </c:pt>
                <c:pt idx="11">
                  <c:v>0.459438832772166</c:v>
                </c:pt>
                <c:pt idx="12">
                  <c:v>1.449068825910931</c:v>
                </c:pt>
                <c:pt idx="13">
                  <c:v>1.30669090909091</c:v>
                </c:pt>
                <c:pt idx="14">
                  <c:v>0.0</c:v>
                </c:pt>
                <c:pt idx="15">
                  <c:v>0.431142857142857</c:v>
                </c:pt>
                <c:pt idx="16">
                  <c:v>0.476651393188854</c:v>
                </c:pt>
                <c:pt idx="17">
                  <c:v>0.289263157894737</c:v>
                </c:pt>
                <c:pt idx="18">
                  <c:v>0.234795008912656</c:v>
                </c:pt>
                <c:pt idx="19">
                  <c:v>0.186313799621928</c:v>
                </c:pt>
                <c:pt idx="20">
                  <c:v>0.199880784313725</c:v>
                </c:pt>
              </c:numCache>
            </c:numRef>
          </c:yVal>
          <c:smooth val="0"/>
        </c:ser>
        <c:ser>
          <c:idx val="1"/>
          <c:order val="1"/>
          <c:tx>
            <c:v>Bulk ODB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sapelo_field_data_soil_data.csv!$B$29:$B$49</c:f>
              <c:numCache>
                <c:formatCode>General</c:formatCode>
                <c:ptCount val="2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6.0</c:v>
                </c:pt>
                <c:pt idx="16">
                  <c:v>6.0</c:v>
                </c:pt>
                <c:pt idx="17">
                  <c:v>6.0</c:v>
                </c:pt>
                <c:pt idx="18">
                  <c:v>7.0</c:v>
                </c:pt>
                <c:pt idx="19">
                  <c:v>7.0</c:v>
                </c:pt>
                <c:pt idx="20">
                  <c:v>7.0</c:v>
                </c:pt>
              </c:numCache>
            </c:numRef>
          </c:xVal>
          <c:yVal>
            <c:numRef>
              <c:f>sapelo_field_data_soil_data.csv!$N$29:$N$55</c:f>
              <c:numCache>
                <c:formatCode>0.00</c:formatCode>
                <c:ptCount val="27"/>
                <c:pt idx="0">
                  <c:v>0.711605797101449</c:v>
                </c:pt>
                <c:pt idx="1">
                  <c:v>0.711439027960767</c:v>
                </c:pt>
                <c:pt idx="2">
                  <c:v>0.550817391304348</c:v>
                </c:pt>
                <c:pt idx="3">
                  <c:v>0.300416666666667</c:v>
                </c:pt>
                <c:pt idx="4">
                  <c:v>0.401515151515151</c:v>
                </c:pt>
                <c:pt idx="5">
                  <c:v>0.375648351648352</c:v>
                </c:pt>
                <c:pt idx="6">
                  <c:v>0.320533333333333</c:v>
                </c:pt>
                <c:pt idx="7">
                  <c:v>0.0</c:v>
                </c:pt>
                <c:pt idx="8">
                  <c:v>0.319547474747475</c:v>
                </c:pt>
                <c:pt idx="9">
                  <c:v>0.426956916099773</c:v>
                </c:pt>
                <c:pt idx="10">
                  <c:v>0.365714285714286</c:v>
                </c:pt>
                <c:pt idx="11">
                  <c:v>0.464052438789281</c:v>
                </c:pt>
                <c:pt idx="12">
                  <c:v>0.5808</c:v>
                </c:pt>
                <c:pt idx="13">
                  <c:v>0.53362962962963</c:v>
                </c:pt>
                <c:pt idx="14">
                  <c:v>1.470971428571429</c:v>
                </c:pt>
                <c:pt idx="15">
                  <c:v>0.280444444444444</c:v>
                </c:pt>
                <c:pt idx="16">
                  <c:v>0.252750125691302</c:v>
                </c:pt>
                <c:pt idx="17">
                  <c:v>0.209427917620137</c:v>
                </c:pt>
                <c:pt idx="18">
                  <c:v>0.20415512465374</c:v>
                </c:pt>
                <c:pt idx="19">
                  <c:v>0.245030425963489</c:v>
                </c:pt>
                <c:pt idx="20">
                  <c:v>0.247195767195767</c:v>
                </c:pt>
                <c:pt idx="21">
                  <c:v>0.355607272727273</c:v>
                </c:pt>
                <c:pt idx="22">
                  <c:v>0.35820979020979</c:v>
                </c:pt>
                <c:pt idx="23">
                  <c:v>0.384378698224852</c:v>
                </c:pt>
                <c:pt idx="24">
                  <c:v>0.239806060606061</c:v>
                </c:pt>
                <c:pt idx="25">
                  <c:v>0.322380952380952</c:v>
                </c:pt>
                <c:pt idx="26">
                  <c:v>0.310363636363636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744832"/>
        <c:axId val="-2115834304"/>
      </c:scatterChart>
      <c:valAx>
        <c:axId val="-211774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834304"/>
        <c:crosses val="autoZero"/>
        <c:crossBetween val="midCat"/>
      </c:valAx>
      <c:valAx>
        <c:axId val="-2115834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Bulk</a:t>
                </a:r>
                <a:r>
                  <a:rPr lang="en-US" baseline="0"/>
                  <a:t> Density (g/cm^3)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744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8517060367454"/>
          <c:y val="0.126750688651866"/>
          <c:w val="0.171299212598425"/>
          <c:h val="0.1368247343771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</a:t>
            </a:r>
            <a:r>
              <a:rPr lang="en-US" baseline="0"/>
              <a:t> Influences Water Content of Soil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844925634296"/>
          <c:y val="0.110463686545649"/>
          <c:w val="0.806155074365704"/>
          <c:h val="0.773119554075678"/>
        </c:manualLayout>
      </c:layout>
      <c:scatterChart>
        <c:scatterStyle val="lineMarker"/>
        <c:varyColors val="0"/>
        <c:ser>
          <c:idx val="0"/>
          <c:order val="0"/>
          <c:tx>
            <c:v>Water Content DB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sapelo_field_data_soil_data.csv!$B$2:$B$22</c:f>
              <c:numCache>
                <c:formatCode>General</c:formatCode>
                <c:ptCount val="2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6.0</c:v>
                </c:pt>
                <c:pt idx="16">
                  <c:v>6.0</c:v>
                </c:pt>
                <c:pt idx="17">
                  <c:v>6.0</c:v>
                </c:pt>
                <c:pt idx="18">
                  <c:v>7.0</c:v>
                </c:pt>
                <c:pt idx="19">
                  <c:v>7.0</c:v>
                </c:pt>
                <c:pt idx="20">
                  <c:v>7.0</c:v>
                </c:pt>
              </c:numCache>
            </c:numRef>
          </c:xVal>
          <c:yVal>
            <c:numRef>
              <c:f>sapelo_field_data_soil_data.csv!$O$2:$O$22</c:f>
              <c:numCache>
                <c:formatCode>0.00</c:formatCode>
                <c:ptCount val="21"/>
                <c:pt idx="0">
                  <c:v>0.428757980266976</c:v>
                </c:pt>
                <c:pt idx="1">
                  <c:v>0.494204018547141</c:v>
                </c:pt>
                <c:pt idx="2">
                  <c:v>0.420023755320202</c:v>
                </c:pt>
                <c:pt idx="3">
                  <c:v>0.646539736870253</c:v>
                </c:pt>
                <c:pt idx="4">
                  <c:v>0.52469771031644</c:v>
                </c:pt>
                <c:pt idx="5">
                  <c:v>0.528798200723622</c:v>
                </c:pt>
                <c:pt idx="6">
                  <c:v>0.519685726756875</c:v>
                </c:pt>
                <c:pt idx="7">
                  <c:v>0.62859942710689</c:v>
                </c:pt>
                <c:pt idx="8">
                  <c:v>0.642060162456485</c:v>
                </c:pt>
                <c:pt idx="9">
                  <c:v>0.486672466977774</c:v>
                </c:pt>
                <c:pt idx="10">
                  <c:v>0.551716031969911</c:v>
                </c:pt>
                <c:pt idx="11">
                  <c:v>0.643613316617913</c:v>
                </c:pt>
                <c:pt idx="12">
                  <c:v>0.300840394499236</c:v>
                </c:pt>
                <c:pt idx="13">
                  <c:v>0.269871586475943</c:v>
                </c:pt>
                <c:pt idx="14">
                  <c:v>0.599261879132708</c:v>
                </c:pt>
                <c:pt idx="15">
                  <c:v>0.651983394833948</c:v>
                </c:pt>
                <c:pt idx="16">
                  <c:v>0.571896355353075</c:v>
                </c:pt>
                <c:pt idx="17">
                  <c:v>0.70803229919252</c:v>
                </c:pt>
                <c:pt idx="18">
                  <c:v>0.82048626253816</c:v>
                </c:pt>
                <c:pt idx="19">
                  <c:v>0.837689713322091</c:v>
                </c:pt>
                <c:pt idx="20">
                  <c:v>0.825427444103463</c:v>
                </c:pt>
              </c:numCache>
            </c:numRef>
          </c:yVal>
          <c:smooth val="0"/>
        </c:ser>
        <c:ser>
          <c:idx val="1"/>
          <c:order val="1"/>
          <c:tx>
            <c:v>Water Content ODB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sapelo_field_data_soil_data.csv!$B$29:$B$49</c:f>
              <c:numCache>
                <c:formatCode>General</c:formatCode>
                <c:ptCount val="2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6.0</c:v>
                </c:pt>
                <c:pt idx="16">
                  <c:v>6.0</c:v>
                </c:pt>
                <c:pt idx="17">
                  <c:v>6.0</c:v>
                </c:pt>
                <c:pt idx="18">
                  <c:v>7.0</c:v>
                </c:pt>
                <c:pt idx="19">
                  <c:v>7.0</c:v>
                </c:pt>
                <c:pt idx="20">
                  <c:v>7.0</c:v>
                </c:pt>
              </c:numCache>
            </c:numRef>
          </c:xVal>
          <c:yVal>
            <c:numRef>
              <c:f>sapelo_field_data_soil_data.csv!$O$29:$O$55</c:f>
              <c:numCache>
                <c:formatCode>0.00</c:formatCode>
                <c:ptCount val="27"/>
                <c:pt idx="0">
                  <c:v>0.41624500665779</c:v>
                </c:pt>
                <c:pt idx="1">
                  <c:v>0.467104108916102</c:v>
                </c:pt>
                <c:pt idx="2">
                  <c:v>0.552655367231638</c:v>
                </c:pt>
                <c:pt idx="3">
                  <c:v>0.73742033383915</c:v>
                </c:pt>
                <c:pt idx="4">
                  <c:v>0.719576719576719</c:v>
                </c:pt>
                <c:pt idx="5">
                  <c:v>0.710814834867352</c:v>
                </c:pt>
                <c:pt idx="6">
                  <c:v>0.727783313705952</c:v>
                </c:pt>
                <c:pt idx="7">
                  <c:v>0.685710600980139</c:v>
                </c:pt>
                <c:pt idx="8">
                  <c:v>0.712799953518099</c:v>
                </c:pt>
                <c:pt idx="9">
                  <c:v>0.66696853067693</c:v>
                </c:pt>
                <c:pt idx="10">
                  <c:v>0.684451219512195</c:v>
                </c:pt>
                <c:pt idx="11">
                  <c:v>0.67292808070267</c:v>
                </c:pt>
                <c:pt idx="12">
                  <c:v>0.620722681758816</c:v>
                </c:pt>
                <c:pt idx="13">
                  <c:v>0.58730522456462</c:v>
                </c:pt>
                <c:pt idx="14">
                  <c:v>0.279863481228669</c:v>
                </c:pt>
                <c:pt idx="15">
                  <c:v>0.784402494234219</c:v>
                </c:pt>
                <c:pt idx="16">
                  <c:v>0.784691290344686</c:v>
                </c:pt>
                <c:pt idx="17">
                  <c:v>0.806195546950629</c:v>
                </c:pt>
                <c:pt idx="18">
                  <c:v>0.790886392009987</c:v>
                </c:pt>
                <c:pt idx="19">
                  <c:v>0.784562705093451</c:v>
                </c:pt>
                <c:pt idx="20">
                  <c:v>0.734200260078023</c:v>
                </c:pt>
                <c:pt idx="21">
                  <c:v>0.671303599598451</c:v>
                </c:pt>
                <c:pt idx="22">
                  <c:v>0.649304414503231</c:v>
                </c:pt>
                <c:pt idx="23">
                  <c:v>0.68455519174205</c:v>
                </c:pt>
                <c:pt idx="24">
                  <c:v>0.71096306685367</c:v>
                </c:pt>
                <c:pt idx="25">
                  <c:v>0.688823674999116</c:v>
                </c:pt>
                <c:pt idx="26">
                  <c:v>0.705130419761617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054848"/>
        <c:axId val="-2095010688"/>
      </c:scatterChart>
      <c:valAx>
        <c:axId val="-2094054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5010688"/>
        <c:crosses val="autoZero"/>
        <c:crossBetween val="midCat"/>
      </c:valAx>
      <c:valAx>
        <c:axId val="-2095010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Content (g/cm^3)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4054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8947944007"/>
          <c:y val="0.575300203716019"/>
          <c:w val="0.273877077865267"/>
          <c:h val="0.160256425462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787087</xdr:colOff>
      <xdr:row>36</xdr:row>
      <xdr:rowOff>125745</xdr:rowOff>
    </xdr:from>
    <xdr:to>
      <xdr:col>21</xdr:col>
      <xdr:colOff>373161</xdr:colOff>
      <xdr:row>55</xdr:row>
      <xdr:rowOff>47036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21</xdr:col>
      <xdr:colOff>417062</xdr:colOff>
      <xdr:row>35</xdr:row>
      <xdr:rowOff>125118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opLeftCell="F1" zoomScale="97" workbookViewId="0">
      <selection activeCell="B6" sqref="B6"/>
    </sheetView>
  </sheetViews>
  <sheetFormatPr baseColWidth="10" defaultRowHeight="16" x14ac:dyDescent="0.2"/>
  <cols>
    <col min="1" max="1" width="29.6640625" style="6" customWidth="1"/>
    <col min="2" max="2" width="22.83203125" style="6" customWidth="1"/>
    <col min="3" max="3" width="20.5" style="6" customWidth="1"/>
    <col min="4" max="4" width="27" style="6" customWidth="1"/>
    <col min="5" max="5" width="25" style="6" customWidth="1"/>
    <col min="6" max="6" width="36.83203125" style="6" customWidth="1"/>
    <col min="7" max="7" width="27" style="6" customWidth="1"/>
    <col min="8" max="8" width="21.6640625" style="6" customWidth="1"/>
    <col min="9" max="9" width="25.1640625" style="6" customWidth="1"/>
    <col min="10" max="10" width="21.6640625" style="6" customWidth="1"/>
    <col min="11" max="11" width="20.83203125" style="6" customWidth="1"/>
    <col min="12" max="12" width="25.6640625" style="6" customWidth="1"/>
    <col min="13" max="13" width="20.33203125" style="6" customWidth="1"/>
    <col min="14" max="14" width="22.33203125" style="6" customWidth="1"/>
    <col min="15" max="16384" width="10.83203125" style="6"/>
  </cols>
  <sheetData>
    <row r="2" spans="1:14" ht="21" x14ac:dyDescent="0.25">
      <c r="A2" s="5" t="s">
        <v>9</v>
      </c>
    </row>
    <row r="3" spans="1:14" s="7" customFormat="1" x14ac:dyDescent="0.2">
      <c r="A3" s="7" t="s">
        <v>1</v>
      </c>
      <c r="B3" s="7" t="s">
        <v>0</v>
      </c>
      <c r="C3" s="7" t="s">
        <v>8</v>
      </c>
      <c r="D3" s="7" t="s">
        <v>7</v>
      </c>
      <c r="E3" s="3" t="s">
        <v>46</v>
      </c>
      <c r="F3" s="8" t="s">
        <v>43</v>
      </c>
      <c r="G3" s="8" t="s">
        <v>42</v>
      </c>
      <c r="H3" s="8" t="s">
        <v>41</v>
      </c>
      <c r="I3" s="8" t="s">
        <v>39</v>
      </c>
      <c r="J3" s="8" t="s">
        <v>34</v>
      </c>
      <c r="K3" s="7" t="s">
        <v>40</v>
      </c>
      <c r="L3" s="7" t="s">
        <v>38</v>
      </c>
      <c r="M3" s="4" t="s">
        <v>44</v>
      </c>
      <c r="N3" s="4" t="s">
        <v>45</v>
      </c>
    </row>
    <row r="4" spans="1:14" ht="48" customHeight="1" x14ac:dyDescent="0.2">
      <c r="A4" s="6" t="s">
        <v>10</v>
      </c>
      <c r="B4" s="6" t="s">
        <v>11</v>
      </c>
      <c r="C4" s="6" t="s">
        <v>12</v>
      </c>
      <c r="D4" s="6" t="s">
        <v>13</v>
      </c>
      <c r="E4" s="11" t="s">
        <v>56</v>
      </c>
      <c r="F4" s="6" t="s">
        <v>21</v>
      </c>
      <c r="G4" s="6" t="s">
        <v>22</v>
      </c>
      <c r="H4" s="6" t="s">
        <v>22</v>
      </c>
      <c r="I4" s="6" t="s">
        <v>22</v>
      </c>
      <c r="J4" s="6" t="s">
        <v>35</v>
      </c>
      <c r="K4" s="6" t="s">
        <v>22</v>
      </c>
      <c r="L4" s="6" t="s">
        <v>22</v>
      </c>
      <c r="M4" s="6" t="s">
        <v>35</v>
      </c>
      <c r="N4" s="6" t="s">
        <v>52</v>
      </c>
    </row>
    <row r="5" spans="1:14" ht="64" customHeight="1" x14ac:dyDescent="0.2">
      <c r="A5" s="6" t="s">
        <v>14</v>
      </c>
      <c r="B5" s="6" t="s">
        <v>23</v>
      </c>
      <c r="C5" s="6" t="s">
        <v>15</v>
      </c>
      <c r="D5" s="6" t="s">
        <v>16</v>
      </c>
      <c r="E5" s="11"/>
      <c r="F5" s="6" t="s">
        <v>26</v>
      </c>
      <c r="G5" s="6" t="s">
        <v>49</v>
      </c>
      <c r="H5" s="6" t="s">
        <v>24</v>
      </c>
      <c r="I5" s="6" t="s">
        <v>33</v>
      </c>
      <c r="J5" s="6" t="s">
        <v>51</v>
      </c>
      <c r="K5" s="6" t="s">
        <v>31</v>
      </c>
      <c r="L5" s="6" t="s">
        <v>32</v>
      </c>
      <c r="M5" s="6" t="s">
        <v>50</v>
      </c>
      <c r="N5" s="6" t="s">
        <v>53</v>
      </c>
    </row>
    <row r="6" spans="1:14" ht="112" x14ac:dyDescent="0.2">
      <c r="A6" s="6" t="s">
        <v>17</v>
      </c>
      <c r="C6" s="6" t="s">
        <v>18</v>
      </c>
      <c r="D6" s="6" t="s">
        <v>19</v>
      </c>
      <c r="E6" s="11"/>
      <c r="F6" s="6" t="s">
        <v>27</v>
      </c>
      <c r="H6" s="6" t="s">
        <v>30</v>
      </c>
      <c r="N6" s="6" t="s">
        <v>54</v>
      </c>
    </row>
    <row r="7" spans="1:14" ht="48" x14ac:dyDescent="0.2">
      <c r="A7" s="6" t="s">
        <v>20</v>
      </c>
      <c r="D7" s="6" t="s">
        <v>25</v>
      </c>
      <c r="E7" s="11"/>
      <c r="F7" s="6" t="s">
        <v>28</v>
      </c>
    </row>
    <row r="8" spans="1:14" ht="48" x14ac:dyDescent="0.2">
      <c r="F8" s="6" t="s">
        <v>29</v>
      </c>
    </row>
    <row r="9" spans="1:14" s="3" customFormat="1" x14ac:dyDescent="0.2">
      <c r="F9" s="4"/>
      <c r="G9" s="4"/>
      <c r="H9" s="4"/>
      <c r="I9" s="4"/>
      <c r="J9" s="4"/>
      <c r="K9" s="4"/>
      <c r="L9" s="4"/>
      <c r="M9" s="4"/>
      <c r="N9" s="4"/>
    </row>
  </sheetData>
  <mergeCells count="1">
    <mergeCell ref="E4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O20" zoomScale="81" workbookViewId="0">
      <selection activeCell="X46" sqref="X46"/>
    </sheetView>
  </sheetViews>
  <sheetFormatPr baseColWidth="10" defaultRowHeight="16" x14ac:dyDescent="0.2"/>
  <cols>
    <col min="1" max="3" width="10.83203125" style="1"/>
    <col min="4" max="4" width="10.6640625" style="1" customWidth="1"/>
    <col min="5" max="6" width="10.83203125" style="1"/>
    <col min="7" max="7" width="13.83203125" style="2" customWidth="1"/>
    <col min="8" max="8" width="12.5" style="2" customWidth="1"/>
    <col min="9" max="9" width="14.5" style="2" customWidth="1"/>
    <col min="10" max="10" width="17.1640625" style="2" customWidth="1"/>
    <col min="11" max="11" width="11.83203125" style="2" customWidth="1"/>
    <col min="12" max="12" width="17.83203125" style="2" customWidth="1"/>
    <col min="13" max="13" width="18.1640625" style="2" customWidth="1"/>
    <col min="14" max="14" width="13.6640625" style="2" customWidth="1"/>
    <col min="15" max="15" width="16.6640625" style="2" customWidth="1"/>
    <col min="16" max="16384" width="10.83203125" style="1"/>
  </cols>
  <sheetData>
    <row r="1" spans="1:15" s="3" customFormat="1" x14ac:dyDescent="0.2">
      <c r="A1" s="3" t="s">
        <v>1</v>
      </c>
      <c r="B1" s="3" t="s">
        <v>0</v>
      </c>
      <c r="C1" s="3" t="s">
        <v>8</v>
      </c>
      <c r="D1" s="9" t="s">
        <v>57</v>
      </c>
      <c r="E1" s="3" t="s">
        <v>7</v>
      </c>
      <c r="F1" s="3" t="s">
        <v>46</v>
      </c>
      <c r="G1" s="4" t="s">
        <v>43</v>
      </c>
      <c r="H1" s="4" t="s">
        <v>42</v>
      </c>
      <c r="I1" s="4" t="s">
        <v>41</v>
      </c>
      <c r="J1" s="4" t="s">
        <v>39</v>
      </c>
      <c r="K1" s="4" t="s">
        <v>34</v>
      </c>
      <c r="L1" s="4" t="s">
        <v>40</v>
      </c>
      <c r="M1" s="4" t="s">
        <v>38</v>
      </c>
      <c r="N1" s="4" t="s">
        <v>44</v>
      </c>
      <c r="O1" s="4" t="s">
        <v>45</v>
      </c>
    </row>
    <row r="2" spans="1:15" x14ac:dyDescent="0.2">
      <c r="A2" s="1" t="s">
        <v>2</v>
      </c>
      <c r="B2" s="1">
        <v>1</v>
      </c>
      <c r="C2" s="1" t="s">
        <v>4</v>
      </c>
      <c r="D2" s="10" t="s">
        <v>58</v>
      </c>
      <c r="E2" s="1">
        <v>1</v>
      </c>
      <c r="F2" s="1" t="s">
        <v>47</v>
      </c>
      <c r="G2" s="2">
        <f>5.75*7*3.25</f>
        <v>130.8125</v>
      </c>
      <c r="H2" s="2">
        <v>2.78</v>
      </c>
      <c r="I2" s="2">
        <v>209.54</v>
      </c>
      <c r="J2" s="2">
        <f>I2-H2</f>
        <v>206.76</v>
      </c>
      <c r="K2" s="2">
        <f>IF(ISNUMBER(G2), J2/G2, NA)</f>
        <v>1.5805828953655039</v>
      </c>
      <c r="L2" s="2">
        <v>120.89</v>
      </c>
      <c r="M2" s="2">
        <f>L2-H2</f>
        <v>118.11</v>
      </c>
      <c r="N2" s="2">
        <f>IF(ISNUMBER(G2), M2/G2, "NA")</f>
        <v>0.90289536550406113</v>
      </c>
      <c r="O2" s="2">
        <f>(J2-M2)/J2</f>
        <v>0.4287579802669762</v>
      </c>
    </row>
    <row r="3" spans="1:15" x14ac:dyDescent="0.2">
      <c r="A3" s="1" t="s">
        <v>2</v>
      </c>
      <c r="B3" s="1">
        <v>1</v>
      </c>
      <c r="C3" s="1" t="s">
        <v>4</v>
      </c>
      <c r="D3" s="10" t="s">
        <v>58</v>
      </c>
      <c r="E3" s="1">
        <v>2</v>
      </c>
      <c r="F3" s="1" t="s">
        <v>47</v>
      </c>
      <c r="G3" s="2">
        <f>5.25*5.25*4.75</f>
        <v>130.921875</v>
      </c>
      <c r="H3" s="2">
        <v>3.5</v>
      </c>
      <c r="I3" s="2">
        <v>184.66</v>
      </c>
      <c r="J3" s="2">
        <f>I3-H3</f>
        <v>181.16</v>
      </c>
      <c r="K3" s="2">
        <f>IF(ISNUMBER(G3), J3/G3, NA)</f>
        <v>1.3837259816207184</v>
      </c>
      <c r="L3" s="2">
        <v>95.13</v>
      </c>
      <c r="M3" s="2">
        <f>L3-H3</f>
        <v>91.63</v>
      </c>
      <c r="N3" s="2">
        <f>IF(ISNUMBER(G3), M3/G3, "NA")</f>
        <v>0.69988304093567244</v>
      </c>
      <c r="O3" s="2">
        <f>(J3-M3)/J3</f>
        <v>0.49420401854714069</v>
      </c>
    </row>
    <row r="4" spans="1:15" x14ac:dyDescent="0.2">
      <c r="A4" s="1" t="s">
        <v>2</v>
      </c>
      <c r="B4" s="1">
        <v>1</v>
      </c>
      <c r="C4" s="1" t="s">
        <v>4</v>
      </c>
      <c r="D4" s="10" t="s">
        <v>58</v>
      </c>
      <c r="E4" s="1">
        <v>3</v>
      </c>
      <c r="F4" s="1" t="s">
        <v>47</v>
      </c>
      <c r="G4" s="2">
        <f>6.25*6*3.5</f>
        <v>131.25</v>
      </c>
      <c r="H4" s="2">
        <v>2.78</v>
      </c>
      <c r="I4" s="2">
        <v>204.84</v>
      </c>
      <c r="J4" s="2">
        <f>I4-H4</f>
        <v>202.06</v>
      </c>
      <c r="K4" s="2">
        <f>IF(ISNUMBER(G4), J4/G4, NA)</f>
        <v>1.5395047619047619</v>
      </c>
      <c r="L4" s="2">
        <v>119.97</v>
      </c>
      <c r="M4" s="2">
        <f>L4-H4</f>
        <v>117.19</v>
      </c>
      <c r="N4" s="2">
        <f>IF(ISNUMBER(G4), M4/G4, "NA")</f>
        <v>0.89287619047619049</v>
      </c>
      <c r="O4" s="2">
        <f>(J4-M4)/J4</f>
        <v>0.42002375532020192</v>
      </c>
    </row>
    <row r="5" spans="1:15" x14ac:dyDescent="0.2">
      <c r="A5" s="1" t="s">
        <v>2</v>
      </c>
      <c r="B5" s="1">
        <v>2</v>
      </c>
      <c r="C5" s="1" t="s">
        <v>4</v>
      </c>
      <c r="D5" s="10" t="s">
        <v>60</v>
      </c>
      <c r="E5" s="1">
        <v>1</v>
      </c>
      <c r="F5" s="1" t="s">
        <v>48</v>
      </c>
      <c r="G5" s="2">
        <f>5.25*5.75*5.5</f>
        <v>166.03125</v>
      </c>
      <c r="H5" s="2">
        <v>2.46</v>
      </c>
      <c r="I5" s="2">
        <v>189.44</v>
      </c>
      <c r="J5" s="2">
        <f>I5-H5</f>
        <v>186.98</v>
      </c>
      <c r="K5" s="2">
        <f>IF(ISNUMBER(G5), J5/G5, NA)</f>
        <v>1.1261735366083192</v>
      </c>
      <c r="L5" s="2">
        <v>68.55</v>
      </c>
      <c r="M5" s="2">
        <f>L5-H5</f>
        <v>66.09</v>
      </c>
      <c r="N5" s="2">
        <f>IF(ISNUMBER(G5), M5/G5, "NA")</f>
        <v>0.39805759457933371</v>
      </c>
      <c r="O5" s="2">
        <f>(J5-M5)/J5</f>
        <v>0.64653973687025346</v>
      </c>
    </row>
    <row r="6" spans="1:15" x14ac:dyDescent="0.2">
      <c r="A6" s="1" t="s">
        <v>2</v>
      </c>
      <c r="B6" s="1">
        <v>2</v>
      </c>
      <c r="C6" s="1" t="s">
        <v>4</v>
      </c>
      <c r="D6" s="10" t="s">
        <v>60</v>
      </c>
      <c r="E6" s="1">
        <v>2</v>
      </c>
      <c r="F6" s="1" t="s">
        <v>48</v>
      </c>
      <c r="G6" s="2">
        <f>7.25*4.25*3.75</f>
        <v>115.546875</v>
      </c>
      <c r="H6" s="2">
        <v>2.92</v>
      </c>
      <c r="I6" s="2">
        <v>158.4</v>
      </c>
      <c r="J6" s="2">
        <f>I6-H6</f>
        <v>155.48000000000002</v>
      </c>
      <c r="K6" s="2">
        <f>IF(ISNUMBER(G6), J6/G6, NA)</f>
        <v>1.3456010818120354</v>
      </c>
      <c r="L6" s="2">
        <v>76.819999999999993</v>
      </c>
      <c r="M6" s="2">
        <f>L6-H6</f>
        <v>73.899999999999991</v>
      </c>
      <c r="N6" s="2">
        <f>IF(ISNUMBER(G6), M6/G6, "NA")</f>
        <v>0.63956727518593637</v>
      </c>
      <c r="O6" s="2">
        <f>(J6-M6)/J6</f>
        <v>0.52469771031643953</v>
      </c>
    </row>
    <row r="7" spans="1:15" x14ac:dyDescent="0.2">
      <c r="A7" s="1" t="s">
        <v>2</v>
      </c>
      <c r="B7" s="1">
        <v>2</v>
      </c>
      <c r="C7" s="1" t="s">
        <v>4</v>
      </c>
      <c r="D7" s="10" t="s">
        <v>60</v>
      </c>
      <c r="E7" s="1">
        <v>3</v>
      </c>
      <c r="F7" s="1" t="s">
        <v>48</v>
      </c>
      <c r="G7" s="2">
        <f>5.5*7*6.5</f>
        <v>250.25</v>
      </c>
      <c r="H7" s="2">
        <v>2.84</v>
      </c>
      <c r="I7" s="2">
        <v>309.63</v>
      </c>
      <c r="J7" s="2">
        <f>I7-H7</f>
        <v>306.79000000000002</v>
      </c>
      <c r="K7" s="2">
        <f>IF(ISNUMBER(G7), J7/G7, NA)</f>
        <v>1.2259340659340661</v>
      </c>
      <c r="L7" s="2">
        <v>147.4</v>
      </c>
      <c r="M7" s="2">
        <f>L7-H7</f>
        <v>144.56</v>
      </c>
      <c r="N7" s="2">
        <f>IF(ISNUMBER(G7), M7/G7, "NA")</f>
        <v>0.57766233766233765</v>
      </c>
      <c r="O7" s="2">
        <f>(J7-M7)/J7</f>
        <v>0.52879820072362205</v>
      </c>
    </row>
    <row r="8" spans="1:15" x14ac:dyDescent="0.2">
      <c r="A8" s="1" t="s">
        <v>2</v>
      </c>
      <c r="B8" s="1">
        <v>3</v>
      </c>
      <c r="C8" s="1" t="s">
        <v>4</v>
      </c>
      <c r="D8" s="10" t="s">
        <v>62</v>
      </c>
      <c r="E8" s="1">
        <v>1</v>
      </c>
      <c r="F8" s="1" t="s">
        <v>48</v>
      </c>
      <c r="G8" s="2">
        <f>6*5.5*2.5</f>
        <v>82.5</v>
      </c>
      <c r="H8" s="2">
        <v>2.09</v>
      </c>
      <c r="I8" s="2">
        <v>116.64</v>
      </c>
      <c r="J8" s="2">
        <f>I8-H8</f>
        <v>114.55</v>
      </c>
      <c r="K8" s="2">
        <f>IF(ISNUMBER(G8), J8/G8, NA)</f>
        <v>1.3884848484848484</v>
      </c>
      <c r="L8" s="2">
        <v>57.11</v>
      </c>
      <c r="M8" s="2">
        <f>L8-H8</f>
        <v>55.019999999999996</v>
      </c>
      <c r="N8" s="2">
        <f>IF(ISNUMBER(G8), M8/G8, "NA")</f>
        <v>0.6669090909090909</v>
      </c>
      <c r="O8" s="2">
        <f>(J8-M8)/J8</f>
        <v>0.51968572675687474</v>
      </c>
    </row>
    <row r="9" spans="1:15" x14ac:dyDescent="0.2">
      <c r="A9" s="1" t="s">
        <v>2</v>
      </c>
      <c r="B9" s="1">
        <v>3</v>
      </c>
      <c r="C9" s="1" t="s">
        <v>4</v>
      </c>
      <c r="D9" s="10" t="s">
        <v>62</v>
      </c>
      <c r="E9" s="1">
        <v>2</v>
      </c>
      <c r="F9" s="1" t="s">
        <v>48</v>
      </c>
      <c r="G9" s="2">
        <f>5*5*4.5</f>
        <v>112.5</v>
      </c>
      <c r="H9" s="2">
        <v>3.26</v>
      </c>
      <c r="I9" s="2">
        <v>135.91999999999999</v>
      </c>
      <c r="J9" s="2">
        <f>I9-H9</f>
        <v>132.66</v>
      </c>
      <c r="K9" s="2">
        <f>IF(ISNUMBER(G9), J9/G9, NA)</f>
        <v>1.1792</v>
      </c>
      <c r="L9" s="2">
        <v>52.53</v>
      </c>
      <c r="M9" s="2">
        <f>L9-H9</f>
        <v>49.27</v>
      </c>
      <c r="N9" s="2">
        <f>IF(ISNUMBER(G9), M9/G9, "NA")</f>
        <v>0.4379555555555556</v>
      </c>
      <c r="O9" s="2">
        <f>(J9-M9)/J9</f>
        <v>0.62859942710688965</v>
      </c>
    </row>
    <row r="10" spans="1:15" x14ac:dyDescent="0.2">
      <c r="A10" s="1" t="s">
        <v>2</v>
      </c>
      <c r="B10" s="1">
        <v>3</v>
      </c>
      <c r="C10" s="1" t="s">
        <v>4</v>
      </c>
      <c r="D10" s="10" t="s">
        <v>62</v>
      </c>
      <c r="E10" s="1">
        <v>3</v>
      </c>
      <c r="F10" s="1" t="s">
        <v>48</v>
      </c>
      <c r="G10" s="2">
        <f>4.5*5.5*3</f>
        <v>74.25</v>
      </c>
      <c r="H10" s="2">
        <v>2.5</v>
      </c>
      <c r="I10" s="2">
        <v>114.53</v>
      </c>
      <c r="J10" s="2">
        <f>I10-H10</f>
        <v>112.03</v>
      </c>
      <c r="K10" s="2">
        <f>IF(ISNUMBER(G10), J10/G10, NA)</f>
        <v>1.5088215488215488</v>
      </c>
      <c r="L10" s="2">
        <v>42.6</v>
      </c>
      <c r="M10" s="2">
        <f>L10-H10</f>
        <v>40.1</v>
      </c>
      <c r="N10" s="2">
        <f>IF(ISNUMBER(G10), M10/G10, "NA")</f>
        <v>0.54006734006734014</v>
      </c>
      <c r="O10" s="2">
        <f>(J10-M10)/J10</f>
        <v>0.6420601624564849</v>
      </c>
    </row>
    <row r="11" spans="1:15" x14ac:dyDescent="0.2">
      <c r="A11" s="1" t="s">
        <v>2</v>
      </c>
      <c r="B11" s="1">
        <v>4</v>
      </c>
      <c r="C11" s="1" t="s">
        <v>4</v>
      </c>
      <c r="D11" s="10" t="s">
        <v>64</v>
      </c>
      <c r="E11" s="1">
        <v>1</v>
      </c>
      <c r="F11" s="1" t="s">
        <v>47</v>
      </c>
      <c r="G11" s="2">
        <f>6.5*5*3.75</f>
        <v>121.875</v>
      </c>
      <c r="H11" s="2">
        <v>2.52</v>
      </c>
      <c r="I11" s="2">
        <v>128.94999999999999</v>
      </c>
      <c r="J11" s="2">
        <f>I11-H11</f>
        <v>126.42999999999999</v>
      </c>
      <c r="K11" s="2">
        <f>IF(ISNUMBER(G11), J11/G11, NA)</f>
        <v>1.0373743589743589</v>
      </c>
      <c r="L11" s="2">
        <v>67.42</v>
      </c>
      <c r="M11" s="2">
        <f>L11-H11</f>
        <v>64.900000000000006</v>
      </c>
      <c r="N11" s="2">
        <f>IF(ISNUMBER(G11), M11/G11, "NA")</f>
        <v>0.53251282051282056</v>
      </c>
      <c r="O11" s="2">
        <f>(J11-M11)/J11</f>
        <v>0.48667246697777417</v>
      </c>
    </row>
    <row r="12" spans="1:15" x14ac:dyDescent="0.2">
      <c r="A12" s="1" t="s">
        <v>2</v>
      </c>
      <c r="B12" s="1">
        <v>4</v>
      </c>
      <c r="C12" s="1" t="s">
        <v>4</v>
      </c>
      <c r="D12" s="10" t="s">
        <v>64</v>
      </c>
      <c r="E12" s="1">
        <v>2</v>
      </c>
      <c r="F12" s="1" t="s">
        <v>47</v>
      </c>
      <c r="G12" s="2">
        <f>6.5*4*4</f>
        <v>104</v>
      </c>
      <c r="H12" s="2">
        <v>2.64</v>
      </c>
      <c r="I12" s="2">
        <v>130.26</v>
      </c>
      <c r="J12" s="2">
        <f>I12-H12</f>
        <v>127.61999999999999</v>
      </c>
      <c r="K12" s="2">
        <f>IF(ISNUMBER(G12), J12/G12, NA)</f>
        <v>1.2271153846153846</v>
      </c>
      <c r="L12" s="2">
        <v>59.85</v>
      </c>
      <c r="M12" s="2">
        <f>L12-H12</f>
        <v>57.21</v>
      </c>
      <c r="N12" s="2">
        <f>IF(ISNUMBER(G12), M12/G12, "NA")</f>
        <v>0.55009615384615385</v>
      </c>
      <c r="O12" s="2">
        <f>(J12-M12)/J12</f>
        <v>0.5517160319699107</v>
      </c>
    </row>
    <row r="13" spans="1:15" x14ac:dyDescent="0.2">
      <c r="A13" s="1" t="s">
        <v>2</v>
      </c>
      <c r="B13" s="1">
        <v>4</v>
      </c>
      <c r="C13" s="1" t="s">
        <v>4</v>
      </c>
      <c r="D13" s="10" t="s">
        <v>64</v>
      </c>
      <c r="E13" s="1">
        <v>3</v>
      </c>
      <c r="F13" s="1" t="s">
        <v>47</v>
      </c>
      <c r="G13" s="2">
        <f>5.5*4.5*4.5</f>
        <v>111.375</v>
      </c>
      <c r="H13" s="2">
        <v>3.06</v>
      </c>
      <c r="I13" s="2">
        <v>146.63999999999999</v>
      </c>
      <c r="J13" s="2">
        <f>I13-H13</f>
        <v>143.57999999999998</v>
      </c>
      <c r="K13" s="2">
        <f>IF(ISNUMBER(G13), J13/G13, NA)</f>
        <v>1.2891582491582489</v>
      </c>
      <c r="L13" s="2">
        <v>54.23</v>
      </c>
      <c r="M13" s="2">
        <f>L13-H13</f>
        <v>51.169999999999995</v>
      </c>
      <c r="N13" s="2">
        <f>IF(ISNUMBER(G13), M13/G13, "NA")</f>
        <v>0.45943883277216607</v>
      </c>
      <c r="O13" s="2">
        <f>(J13-M13)/J13</f>
        <v>0.64361331661791343</v>
      </c>
    </row>
    <row r="14" spans="1:15" x14ac:dyDescent="0.2">
      <c r="A14" s="1" t="s">
        <v>2</v>
      </c>
      <c r="B14" s="1">
        <v>5</v>
      </c>
      <c r="C14" s="1" t="s">
        <v>4</v>
      </c>
      <c r="D14" s="10" t="s">
        <v>66</v>
      </c>
      <c r="E14" s="1">
        <v>1</v>
      </c>
      <c r="F14" s="1" t="s">
        <v>47</v>
      </c>
      <c r="G14" s="2">
        <f>6.5*4.5*4.75</f>
        <v>138.9375</v>
      </c>
      <c r="H14" s="2">
        <v>2.75</v>
      </c>
      <c r="I14" s="2">
        <v>290.70999999999998</v>
      </c>
      <c r="J14" s="2">
        <f>I14-H14</f>
        <v>287.95999999999998</v>
      </c>
      <c r="K14" s="2">
        <f>IF(ISNUMBER(G14), J14/G14, NA)</f>
        <v>2.0725865946918578</v>
      </c>
      <c r="L14" s="2">
        <v>204.08</v>
      </c>
      <c r="M14" s="2">
        <f>L14-H14</f>
        <v>201.33</v>
      </c>
      <c r="N14" s="2">
        <f>IF(ISNUMBER(G14), M14/G14, "NA")</f>
        <v>1.4490688259109312</v>
      </c>
      <c r="O14" s="2">
        <f>(J14-M14)/J14</f>
        <v>0.30084039449923589</v>
      </c>
    </row>
    <row r="15" spans="1:15" x14ac:dyDescent="0.2">
      <c r="A15" s="1" t="s">
        <v>2</v>
      </c>
      <c r="B15" s="1">
        <v>5</v>
      </c>
      <c r="C15" s="1" t="s">
        <v>4</v>
      </c>
      <c r="D15" s="10" t="s">
        <v>66</v>
      </c>
      <c r="E15" s="1">
        <v>2</v>
      </c>
      <c r="F15" s="1" t="s">
        <v>47</v>
      </c>
      <c r="G15" s="2">
        <f>6.25*5.5*4</f>
        <v>137.5</v>
      </c>
      <c r="H15" s="2">
        <v>2.69</v>
      </c>
      <c r="I15" s="2">
        <v>248.77</v>
      </c>
      <c r="J15" s="2">
        <f>I15-H15</f>
        <v>246.08</v>
      </c>
      <c r="K15" s="2">
        <f>IF(ISNUMBER(G15), J15/G15, NA)</f>
        <v>1.7896727272727273</v>
      </c>
      <c r="L15" s="2">
        <v>182.36</v>
      </c>
      <c r="M15" s="2">
        <f>L15-H15</f>
        <v>179.67000000000002</v>
      </c>
      <c r="N15" s="2">
        <f>IF(ISNUMBER(G15), M15/G15, "NA")</f>
        <v>1.3066909090909091</v>
      </c>
      <c r="O15" s="2">
        <f>(J15-M15)/J15</f>
        <v>0.26987158647594278</v>
      </c>
    </row>
    <row r="16" spans="1:15" x14ac:dyDescent="0.2">
      <c r="A16" s="1" t="s">
        <v>2</v>
      </c>
      <c r="B16" s="1">
        <v>5</v>
      </c>
      <c r="C16" s="1" t="s">
        <v>4</v>
      </c>
      <c r="D16" s="10" t="s">
        <v>66</v>
      </c>
      <c r="E16" s="1">
        <v>3</v>
      </c>
      <c r="F16" s="1" t="s">
        <v>47</v>
      </c>
      <c r="G16" s="2" t="s">
        <v>37</v>
      </c>
      <c r="H16" s="2">
        <v>2.2599999999999998</v>
      </c>
      <c r="I16" s="2">
        <v>132.32</v>
      </c>
      <c r="J16" s="2">
        <f>I16-H16</f>
        <v>130.06</v>
      </c>
      <c r="K16" s="2" t="str">
        <f>IF(ISNUMBER(G16), J16/G16, "NA")</f>
        <v>NA</v>
      </c>
      <c r="L16" s="2">
        <v>54.38</v>
      </c>
      <c r="M16" s="2">
        <f>L16-H16</f>
        <v>52.120000000000005</v>
      </c>
      <c r="N16" s="2" t="str">
        <f>IF(ISNUMBER(G16), M16/G16, "NA")</f>
        <v>NA</v>
      </c>
      <c r="O16" s="2">
        <f>(J16-M16)/J16</f>
        <v>0.5992618791327079</v>
      </c>
    </row>
    <row r="17" spans="1:15" x14ac:dyDescent="0.2">
      <c r="A17" s="1" t="s">
        <v>5</v>
      </c>
      <c r="B17" s="1">
        <v>6</v>
      </c>
      <c r="C17" s="1" t="s">
        <v>4</v>
      </c>
      <c r="D17" s="10" t="s">
        <v>68</v>
      </c>
      <c r="E17" s="1">
        <v>1</v>
      </c>
      <c r="F17" s="1" t="s">
        <v>47</v>
      </c>
      <c r="G17" s="2">
        <f>7*3.75*4</f>
        <v>105</v>
      </c>
      <c r="H17" s="2">
        <v>2.79</v>
      </c>
      <c r="I17" s="2">
        <v>132.87</v>
      </c>
      <c r="J17" s="2">
        <f>I17-H17</f>
        <v>130.08000000000001</v>
      </c>
      <c r="K17" s="2">
        <f>IF(ISNUMBER(G17), J17/G17, NA)</f>
        <v>1.2388571428571429</v>
      </c>
      <c r="L17" s="2">
        <v>48.06</v>
      </c>
      <c r="M17" s="2">
        <f>L17-H17</f>
        <v>45.27</v>
      </c>
      <c r="N17" s="2">
        <f>IF(ISNUMBER(G17), M17/G17, "NA")</f>
        <v>0.43114285714285716</v>
      </c>
      <c r="O17" s="2">
        <f>(J17-M17)/J17</f>
        <v>0.65198339483394829</v>
      </c>
    </row>
    <row r="18" spans="1:15" x14ac:dyDescent="0.2">
      <c r="A18" s="1" t="s">
        <v>5</v>
      </c>
      <c r="B18" s="1">
        <v>6</v>
      </c>
      <c r="C18" s="1" t="s">
        <v>4</v>
      </c>
      <c r="D18" s="10" t="s">
        <v>68</v>
      </c>
      <c r="E18" s="1">
        <v>2</v>
      </c>
      <c r="F18" s="1" t="s">
        <v>47</v>
      </c>
      <c r="G18" s="2">
        <f>4.25*4.75*6.25</f>
        <v>126.171875</v>
      </c>
      <c r="H18" s="2">
        <v>2.7</v>
      </c>
      <c r="I18" s="2">
        <v>143.18</v>
      </c>
      <c r="J18" s="2">
        <f>I18-H18</f>
        <v>140.48000000000002</v>
      </c>
      <c r="K18" s="2">
        <f>IF(ISNUMBER(G18), J18/G18, NA)</f>
        <v>1.1134018575851394</v>
      </c>
      <c r="L18" s="2">
        <v>62.84</v>
      </c>
      <c r="M18" s="2">
        <f>L18-H18</f>
        <v>60.14</v>
      </c>
      <c r="N18" s="2">
        <f>IF(ISNUMBER(G18), M18/G18, "NA")</f>
        <v>0.47665139318885447</v>
      </c>
      <c r="O18" s="2">
        <f>(J18-M18)/J18</f>
        <v>0.57189635535307526</v>
      </c>
    </row>
    <row r="19" spans="1:15" x14ac:dyDescent="0.2">
      <c r="A19" s="1" t="s">
        <v>5</v>
      </c>
      <c r="B19" s="1">
        <v>6</v>
      </c>
      <c r="C19" s="1" t="s">
        <v>4</v>
      </c>
      <c r="D19" s="10" t="s">
        <v>68</v>
      </c>
      <c r="E19" s="1">
        <v>3</v>
      </c>
      <c r="F19" s="1" t="s">
        <v>47</v>
      </c>
      <c r="G19" s="2">
        <f>4*5*4.75</f>
        <v>95</v>
      </c>
      <c r="H19" s="2">
        <v>2.87</v>
      </c>
      <c r="I19" s="2">
        <v>96.99</v>
      </c>
      <c r="J19" s="2">
        <f>I19-H19</f>
        <v>94.11999999999999</v>
      </c>
      <c r="K19" s="2">
        <f>IF(ISNUMBER(G19), J19/G19, NA)</f>
        <v>0.99073684210526303</v>
      </c>
      <c r="L19" s="2">
        <v>30.35</v>
      </c>
      <c r="M19" s="2">
        <f>L19-H19</f>
        <v>27.48</v>
      </c>
      <c r="N19" s="2">
        <f>IF(ISNUMBER(G19), M19/G19, "NA")</f>
        <v>0.28926315789473683</v>
      </c>
      <c r="O19" s="2">
        <f>(J19-M19)/J19</f>
        <v>0.70803229919252009</v>
      </c>
    </row>
    <row r="20" spans="1:15" x14ac:dyDescent="0.2">
      <c r="A20" s="1" t="s">
        <v>5</v>
      </c>
      <c r="B20" s="1">
        <v>7</v>
      </c>
      <c r="C20" s="1" t="s">
        <v>4</v>
      </c>
      <c r="D20" s="10" t="s">
        <v>70</v>
      </c>
      <c r="E20" s="1">
        <v>1</v>
      </c>
      <c r="F20" s="1" t="s">
        <v>47</v>
      </c>
      <c r="G20" s="2">
        <f>5.5*4.25*6</f>
        <v>140.25</v>
      </c>
      <c r="H20" s="2">
        <v>2.57</v>
      </c>
      <c r="I20" s="2">
        <v>186.01</v>
      </c>
      <c r="J20" s="2">
        <f>I20-H20</f>
        <v>183.44</v>
      </c>
      <c r="K20" s="2">
        <f>IF(ISNUMBER(G20), J20/G20, NA)</f>
        <v>1.3079500891265596</v>
      </c>
      <c r="L20" s="2">
        <v>35.5</v>
      </c>
      <c r="M20" s="2">
        <f>L20-H20</f>
        <v>32.93</v>
      </c>
      <c r="N20" s="2">
        <f>IF(ISNUMBER(G20), M20/G20, "NA")</f>
        <v>0.23479500891265598</v>
      </c>
      <c r="O20" s="2">
        <f>(J20-M20)/J20</f>
        <v>0.82048626253815959</v>
      </c>
    </row>
    <row r="21" spans="1:15" x14ac:dyDescent="0.2">
      <c r="A21" s="1" t="s">
        <v>5</v>
      </c>
      <c r="B21" s="1">
        <v>7</v>
      </c>
      <c r="C21" s="1" t="s">
        <v>4</v>
      </c>
      <c r="D21" s="10" t="s">
        <v>70</v>
      </c>
      <c r="E21" s="1">
        <v>2</v>
      </c>
      <c r="F21" s="1" t="s">
        <v>47</v>
      </c>
      <c r="G21" s="2">
        <f>5.75*5.75*3.75</f>
        <v>123.984375</v>
      </c>
      <c r="H21" s="2">
        <v>2.84</v>
      </c>
      <c r="I21" s="2">
        <v>145.16</v>
      </c>
      <c r="J21" s="2">
        <f>I21-H21</f>
        <v>142.32</v>
      </c>
      <c r="K21" s="2">
        <f>IF(ISNUMBER(G21), J21/G21, NA)</f>
        <v>1.1478865784499055</v>
      </c>
      <c r="L21" s="2">
        <v>25.94</v>
      </c>
      <c r="M21" s="2">
        <f>L21-H21</f>
        <v>23.1</v>
      </c>
      <c r="N21" s="2">
        <f>IF(ISNUMBER(G21), M21/G21, "NA")</f>
        <v>0.18631379962192818</v>
      </c>
      <c r="O21" s="2">
        <f>(J21-M21)/J21</f>
        <v>0.83768971332209108</v>
      </c>
    </row>
    <row r="22" spans="1:15" x14ac:dyDescent="0.2">
      <c r="A22" s="1" t="s">
        <v>5</v>
      </c>
      <c r="B22" s="1">
        <v>7</v>
      </c>
      <c r="C22" s="1" t="s">
        <v>4</v>
      </c>
      <c r="D22" s="10" t="s">
        <v>70</v>
      </c>
      <c r="E22" s="1">
        <v>3</v>
      </c>
      <c r="F22" s="1" t="s">
        <v>47</v>
      </c>
      <c r="G22" s="2">
        <f>6.25*4.25*3.75</f>
        <v>99.609375</v>
      </c>
      <c r="H22" s="2">
        <v>2.76</v>
      </c>
      <c r="I22" s="2">
        <v>116.81</v>
      </c>
      <c r="J22" s="2">
        <f>I22-H22</f>
        <v>114.05</v>
      </c>
      <c r="K22" s="2">
        <f>IF(ISNUMBER(G22), J22/G22, NA)</f>
        <v>1.1449725490196079</v>
      </c>
      <c r="L22" s="2">
        <v>22.67</v>
      </c>
      <c r="M22" s="2">
        <f>L22-H22</f>
        <v>19.910000000000004</v>
      </c>
      <c r="N22" s="2">
        <f>IF(ISNUMBER(G22), M22/G22, "NA")</f>
        <v>0.19988078431372552</v>
      </c>
      <c r="O22" s="2">
        <f>(J22-M22)/J22</f>
        <v>0.82542744410346325</v>
      </c>
    </row>
    <row r="23" spans="1:15" x14ac:dyDescent="0.2">
      <c r="A23" s="1" t="s">
        <v>6</v>
      </c>
      <c r="B23" s="1">
        <v>10</v>
      </c>
      <c r="C23" s="1" t="s">
        <v>4</v>
      </c>
      <c r="D23" s="10"/>
      <c r="E23" s="1">
        <v>1</v>
      </c>
      <c r="F23" s="1" t="s">
        <v>55</v>
      </c>
      <c r="G23" s="2">
        <f>9*7*4</f>
        <v>252</v>
      </c>
      <c r="H23" s="2">
        <v>3.39</v>
      </c>
      <c r="I23" s="2">
        <v>421.23</v>
      </c>
      <c r="J23" s="2">
        <f>I23-H23</f>
        <v>417.84000000000003</v>
      </c>
      <c r="K23" s="2">
        <f>IF(ISNUMBER(G23), J23/G23, NA)</f>
        <v>1.6580952380952383</v>
      </c>
      <c r="L23" s="2">
        <v>311.12</v>
      </c>
      <c r="M23" s="2">
        <f>L23-H23</f>
        <v>307.73</v>
      </c>
      <c r="N23" s="2">
        <f>IF(ISNUMBER(G23), M23/G23, "NA")</f>
        <v>1.2211507936507937</v>
      </c>
      <c r="O23" s="2">
        <f>(J23-M23)/J23</f>
        <v>0.26352192226689641</v>
      </c>
    </row>
    <row r="24" spans="1:15" x14ac:dyDescent="0.2">
      <c r="A24" s="1" t="s">
        <v>6</v>
      </c>
      <c r="B24" s="1">
        <v>10</v>
      </c>
      <c r="C24" s="1" t="s">
        <v>4</v>
      </c>
      <c r="D24" s="10"/>
      <c r="E24" s="1">
        <v>2</v>
      </c>
      <c r="F24" s="1" t="s">
        <v>55</v>
      </c>
      <c r="G24" s="2">
        <f>4*7.5*8</f>
        <v>240</v>
      </c>
      <c r="H24" s="2">
        <v>3.62</v>
      </c>
      <c r="I24" s="2">
        <v>417.8</v>
      </c>
      <c r="J24" s="2">
        <f>I24-H24</f>
        <v>414.18</v>
      </c>
      <c r="K24" s="2">
        <f>IF(ISNUMBER(G24), J24/G24, NA)</f>
        <v>1.7257500000000001</v>
      </c>
      <c r="L24" s="2">
        <v>294.14999999999998</v>
      </c>
      <c r="M24" s="2">
        <f>L24-H24</f>
        <v>290.52999999999997</v>
      </c>
      <c r="N24" s="2">
        <f>IF(ISNUMBER(G24), M24/G24, "NA")</f>
        <v>1.2105416666666666</v>
      </c>
      <c r="O24" s="2">
        <f>(J24-M24)/J24</f>
        <v>0.29854169684678167</v>
      </c>
    </row>
    <row r="25" spans="1:15" x14ac:dyDescent="0.2">
      <c r="A25" s="1" t="s">
        <v>6</v>
      </c>
      <c r="B25" s="1">
        <v>10</v>
      </c>
      <c r="C25" s="1" t="s">
        <v>4</v>
      </c>
      <c r="D25" s="10"/>
      <c r="E25" s="1">
        <v>3</v>
      </c>
      <c r="F25" s="1" t="s">
        <v>55</v>
      </c>
      <c r="G25" s="2">
        <f>6.5*5.75*5.5</f>
        <v>205.5625</v>
      </c>
      <c r="H25" s="2">
        <v>3.02</v>
      </c>
      <c r="I25" s="2">
        <v>328.1</v>
      </c>
      <c r="J25" s="2">
        <f>I25-H25</f>
        <v>325.08000000000004</v>
      </c>
      <c r="K25" s="2">
        <f>IF(ISNUMBER(G25), J25/G25, NA)</f>
        <v>1.5814168440255398</v>
      </c>
      <c r="L25" s="2">
        <v>235.04</v>
      </c>
      <c r="M25" s="2">
        <f>L25-H25</f>
        <v>232.01999999999998</v>
      </c>
      <c r="N25" s="2">
        <f>IF(ISNUMBER(G25), M25/G25, "NA")</f>
        <v>1.1287078139252051</v>
      </c>
      <c r="O25" s="2">
        <f>(J25-M25)/J25</f>
        <v>0.28626799557032129</v>
      </c>
    </row>
    <row r="26" spans="1:15" x14ac:dyDescent="0.2">
      <c r="A26" s="1" t="s">
        <v>6</v>
      </c>
      <c r="B26" s="1">
        <v>11</v>
      </c>
      <c r="C26" s="1" t="s">
        <v>4</v>
      </c>
      <c r="D26" s="10"/>
      <c r="E26" s="1">
        <v>1</v>
      </c>
      <c r="F26" s="1" t="s">
        <v>55</v>
      </c>
      <c r="G26" s="2">
        <f>6.5*6*4.25</f>
        <v>165.75</v>
      </c>
      <c r="H26" s="2">
        <v>3.14</v>
      </c>
      <c r="I26" s="2">
        <v>354.93</v>
      </c>
      <c r="J26" s="2">
        <f>I26-H26</f>
        <v>351.79</v>
      </c>
      <c r="K26" s="2">
        <f>IF(ISNUMBER(G26), J26/G26, NA)</f>
        <v>2.1224132730015084</v>
      </c>
      <c r="L26" s="2">
        <v>259.12</v>
      </c>
      <c r="M26" s="2">
        <f>L26-H26</f>
        <v>255.98000000000002</v>
      </c>
      <c r="N26" s="2">
        <f>IF(ISNUMBER(G26), M26/G26, "NA")</f>
        <v>1.5443740573152338</v>
      </c>
      <c r="O26" s="2">
        <f>(J26-M26)/J26</f>
        <v>0.27234998152306772</v>
      </c>
    </row>
    <row r="27" spans="1:15" x14ac:dyDescent="0.2">
      <c r="A27" s="1" t="s">
        <v>6</v>
      </c>
      <c r="B27" s="1">
        <v>11</v>
      </c>
      <c r="C27" s="1" t="s">
        <v>4</v>
      </c>
      <c r="D27" s="10"/>
      <c r="E27" s="1">
        <v>2</v>
      </c>
      <c r="F27" s="1" t="s">
        <v>55</v>
      </c>
      <c r="G27" s="2">
        <f>5.5*7*3</f>
        <v>115.5</v>
      </c>
      <c r="H27" s="2">
        <v>2.75</v>
      </c>
      <c r="I27" s="2">
        <v>269.17</v>
      </c>
      <c r="J27" s="2">
        <f>I27-H27</f>
        <v>266.42</v>
      </c>
      <c r="K27" s="2">
        <f>IF(ISNUMBER(G27), J27/G27, NA)</f>
        <v>2.3066666666666666</v>
      </c>
      <c r="L27" s="2">
        <v>206.48</v>
      </c>
      <c r="M27" s="2">
        <f>L27-H27</f>
        <v>203.73</v>
      </c>
      <c r="N27" s="2">
        <f>IF(ISNUMBER(G27), M27/G27, "NA")</f>
        <v>1.7638961038961039</v>
      </c>
      <c r="O27" s="2">
        <f>(J27-M27)/J27</f>
        <v>0.23530515727047527</v>
      </c>
    </row>
    <row r="28" spans="1:15" x14ac:dyDescent="0.2">
      <c r="A28" s="1" t="s">
        <v>6</v>
      </c>
      <c r="B28" s="1">
        <v>11</v>
      </c>
      <c r="C28" s="1" t="s">
        <v>4</v>
      </c>
      <c r="D28" s="10"/>
      <c r="E28" s="1">
        <v>3</v>
      </c>
      <c r="F28" s="1" t="s">
        <v>55</v>
      </c>
      <c r="G28" s="2">
        <f>6.25*5.75*4.75</f>
        <v>170.703125</v>
      </c>
      <c r="H28" s="2">
        <v>2.82</v>
      </c>
      <c r="I28" s="2">
        <v>354.67</v>
      </c>
      <c r="J28" s="2">
        <f>I28-H28</f>
        <v>351.85</v>
      </c>
      <c r="K28" s="2">
        <f>IF(ISNUMBER(G28), J28/G28, NA)</f>
        <v>2.0611807780320368</v>
      </c>
      <c r="L28" s="2">
        <v>260.66000000000003</v>
      </c>
      <c r="M28" s="2">
        <f>L28-H28</f>
        <v>257.84000000000003</v>
      </c>
      <c r="N28" s="2">
        <f>IF(ISNUMBER(G28), M28/G28, "NA")</f>
        <v>1.5104585812356981</v>
      </c>
      <c r="O28" s="2">
        <f>(J28-M28)/J28</f>
        <v>0.26718772204064228</v>
      </c>
    </row>
    <row r="29" spans="1:15" x14ac:dyDescent="0.2">
      <c r="A29" s="1" t="s">
        <v>2</v>
      </c>
      <c r="B29" s="1">
        <v>1</v>
      </c>
      <c r="C29" s="1" t="s">
        <v>3</v>
      </c>
      <c r="D29" s="10" t="s">
        <v>59</v>
      </c>
      <c r="E29" s="1">
        <v>1</v>
      </c>
      <c r="F29" s="1" t="s">
        <v>47</v>
      </c>
      <c r="G29" s="2">
        <f>6*5.75*6.25</f>
        <v>215.625</v>
      </c>
      <c r="H29" s="2">
        <v>3.1</v>
      </c>
      <c r="I29" s="2">
        <v>265.95</v>
      </c>
      <c r="J29" s="2">
        <f>I29-H29</f>
        <v>262.84999999999997</v>
      </c>
      <c r="K29" s="2">
        <f>IF(ISNUMBER(G29), J29/G29, NA)</f>
        <v>1.2190144927536231</v>
      </c>
      <c r="L29" s="2">
        <v>156.54</v>
      </c>
      <c r="M29" s="2">
        <f>L29-H29</f>
        <v>153.44</v>
      </c>
      <c r="N29" s="2">
        <f>IF(ISNUMBER(G29), M29/G29, "NA")</f>
        <v>0.71160579710144922</v>
      </c>
      <c r="O29" s="2">
        <f>(J29-M29)/J29</f>
        <v>0.41624500665778957</v>
      </c>
    </row>
    <row r="30" spans="1:15" x14ac:dyDescent="0.2">
      <c r="A30" s="1" t="s">
        <v>2</v>
      </c>
      <c r="B30" s="1">
        <v>1</v>
      </c>
      <c r="C30" s="1" t="s">
        <v>3</v>
      </c>
      <c r="D30" s="10" t="s">
        <v>59</v>
      </c>
      <c r="E30" s="1">
        <v>2</v>
      </c>
      <c r="F30" s="1" t="s">
        <v>47</v>
      </c>
      <c r="G30" s="2">
        <f>6.75*5.75*5.5</f>
        <v>213.46875</v>
      </c>
      <c r="H30" s="2">
        <v>2.92</v>
      </c>
      <c r="I30" s="2">
        <v>287.91000000000003</v>
      </c>
      <c r="J30" s="2">
        <f>I30-H30</f>
        <v>284.99</v>
      </c>
      <c r="K30" s="2">
        <f>IF(ISNUMBER(G30), J30/G30, NA)</f>
        <v>1.3350431854779681</v>
      </c>
      <c r="L30" s="2">
        <v>154.79</v>
      </c>
      <c r="M30" s="2">
        <f>L30-H30</f>
        <v>151.87</v>
      </c>
      <c r="N30" s="2">
        <f>IF(ISNUMBER(G30), M30/G30, "NA")</f>
        <v>0.71143902796076708</v>
      </c>
      <c r="O30" s="2">
        <f>(J30-M30)/J30</f>
        <v>0.46710410891610232</v>
      </c>
    </row>
    <row r="31" spans="1:15" x14ac:dyDescent="0.2">
      <c r="A31" s="1" t="s">
        <v>2</v>
      </c>
      <c r="B31" s="1">
        <v>1</v>
      </c>
      <c r="C31" s="1" t="s">
        <v>3</v>
      </c>
      <c r="D31" s="10" t="s">
        <v>59</v>
      </c>
      <c r="E31" s="1">
        <v>3</v>
      </c>
      <c r="F31" s="1" t="s">
        <v>47</v>
      </c>
      <c r="G31" s="2">
        <f>4*5.75*6.25</f>
        <v>143.75</v>
      </c>
      <c r="H31" s="2">
        <v>3.32</v>
      </c>
      <c r="I31" s="2">
        <v>180.32</v>
      </c>
      <c r="J31" s="2">
        <f>I31-H31</f>
        <v>177</v>
      </c>
      <c r="K31" s="2">
        <f>IF(ISNUMBER(G31), J31/G31, NA)</f>
        <v>1.231304347826087</v>
      </c>
      <c r="L31" s="2">
        <v>82.5</v>
      </c>
      <c r="M31" s="2">
        <f>L31-H31</f>
        <v>79.180000000000007</v>
      </c>
      <c r="N31" s="2">
        <f>IF(ISNUMBER(G31), M31/G31, "NA")</f>
        <v>0.55081739130434793</v>
      </c>
      <c r="O31" s="2">
        <f>(J31-M31)/J31</f>
        <v>0.55265536723163833</v>
      </c>
    </row>
    <row r="32" spans="1:15" x14ac:dyDescent="0.2">
      <c r="A32" s="1" t="s">
        <v>2</v>
      </c>
      <c r="B32" s="1">
        <v>2</v>
      </c>
      <c r="C32" s="1" t="s">
        <v>3</v>
      </c>
      <c r="D32" s="10" t="s">
        <v>61</v>
      </c>
      <c r="E32" s="1">
        <v>1</v>
      </c>
      <c r="F32" s="1" t="s">
        <v>48</v>
      </c>
      <c r="G32" s="2">
        <f>4*4.5*8</f>
        <v>144</v>
      </c>
      <c r="H32" s="2">
        <v>2.66</v>
      </c>
      <c r="I32" s="2">
        <v>167.41</v>
      </c>
      <c r="J32" s="2">
        <f>I32-H32</f>
        <v>164.75</v>
      </c>
      <c r="K32" s="2">
        <f>IF(ISNUMBER(G32), J32/G32, NA)</f>
        <v>1.1440972222222223</v>
      </c>
      <c r="L32" s="2">
        <v>45.92</v>
      </c>
      <c r="M32" s="2">
        <f>L32-H32</f>
        <v>43.260000000000005</v>
      </c>
      <c r="N32" s="2">
        <f>IF(ISNUMBER(G32), M32/G32, "NA")</f>
        <v>0.30041666666666672</v>
      </c>
      <c r="O32" s="2">
        <f>(J32-M32)/J32</f>
        <v>0.73742033383915018</v>
      </c>
    </row>
    <row r="33" spans="1:15" x14ac:dyDescent="0.2">
      <c r="A33" s="1" t="s">
        <v>2</v>
      </c>
      <c r="B33" s="1">
        <v>2</v>
      </c>
      <c r="C33" s="1" t="s">
        <v>3</v>
      </c>
      <c r="D33" s="10" t="s">
        <v>61</v>
      </c>
      <c r="E33" s="1">
        <v>2</v>
      </c>
      <c r="F33" s="1" t="s">
        <v>48</v>
      </c>
      <c r="G33" s="2">
        <f>5.5*4.5*4</f>
        <v>99</v>
      </c>
      <c r="H33" s="2">
        <v>2.77</v>
      </c>
      <c r="I33" s="2">
        <v>144.52000000000001</v>
      </c>
      <c r="J33" s="2">
        <f>I33-H33</f>
        <v>141.75</v>
      </c>
      <c r="K33" s="2">
        <f>IF(ISNUMBER(G33), J33/G33, NA)</f>
        <v>1.4318181818181819</v>
      </c>
      <c r="L33" s="2">
        <v>42.52</v>
      </c>
      <c r="M33" s="2">
        <f>L33-H33</f>
        <v>39.75</v>
      </c>
      <c r="N33" s="2">
        <f>IF(ISNUMBER(G33), M33/G33, "NA")</f>
        <v>0.40151515151515149</v>
      </c>
      <c r="O33" s="2">
        <f>(J33-M33)/J33</f>
        <v>0.71957671957671954</v>
      </c>
    </row>
    <row r="34" spans="1:15" x14ac:dyDescent="0.2">
      <c r="A34" s="1" t="s">
        <v>2</v>
      </c>
      <c r="B34" s="1">
        <v>2</v>
      </c>
      <c r="C34" s="1" t="s">
        <v>3</v>
      </c>
      <c r="D34" s="10" t="s">
        <v>61</v>
      </c>
      <c r="E34" s="1">
        <v>3</v>
      </c>
      <c r="F34" s="1" t="s">
        <v>48</v>
      </c>
      <c r="G34" s="2">
        <f>5*3.5*6.5</f>
        <v>113.75</v>
      </c>
      <c r="H34" s="2">
        <v>3.18</v>
      </c>
      <c r="I34" s="2">
        <v>150.94</v>
      </c>
      <c r="J34" s="2">
        <f>I34-H34</f>
        <v>147.76</v>
      </c>
      <c r="K34" s="2">
        <f>IF(ISNUMBER(G34), J34/G34, NA)</f>
        <v>1.298989010989011</v>
      </c>
      <c r="L34" s="2">
        <v>45.91</v>
      </c>
      <c r="M34" s="2">
        <f>L34-H34</f>
        <v>42.73</v>
      </c>
      <c r="N34" s="2">
        <f>IF(ISNUMBER(G34), M34/G34, "NA")</f>
        <v>0.37564835164835164</v>
      </c>
      <c r="O34" s="2">
        <f>(J34-M34)/J34</f>
        <v>0.71081483486735253</v>
      </c>
    </row>
    <row r="35" spans="1:15" x14ac:dyDescent="0.2">
      <c r="A35" s="1" t="s">
        <v>2</v>
      </c>
      <c r="B35" s="1">
        <v>3</v>
      </c>
      <c r="C35" s="1" t="s">
        <v>3</v>
      </c>
      <c r="D35" s="10" t="s">
        <v>63</v>
      </c>
      <c r="E35" s="1">
        <v>1</v>
      </c>
      <c r="F35" s="1" t="s">
        <v>48</v>
      </c>
      <c r="G35" s="2">
        <f>7.5*2.5*5</f>
        <v>93.75</v>
      </c>
      <c r="H35" s="2">
        <v>2.69</v>
      </c>
      <c r="I35" s="2">
        <v>113.08</v>
      </c>
      <c r="J35" s="2">
        <f>I35-H35</f>
        <v>110.39</v>
      </c>
      <c r="K35" s="2">
        <f>IF(ISNUMBER(G35), J35/G35, NA)</f>
        <v>1.1774933333333333</v>
      </c>
      <c r="L35" s="2">
        <v>32.74</v>
      </c>
      <c r="M35" s="2">
        <f>L35-H35</f>
        <v>30.05</v>
      </c>
      <c r="N35" s="2">
        <f>IF(ISNUMBER(G35), M35/G35, "NA")</f>
        <v>0.32053333333333334</v>
      </c>
      <c r="O35" s="2">
        <f>(J35-M35)/J35</f>
        <v>0.72778331370595162</v>
      </c>
    </row>
    <row r="36" spans="1:15" x14ac:dyDescent="0.2">
      <c r="A36" s="1" t="s">
        <v>2</v>
      </c>
      <c r="B36" s="1">
        <v>3</v>
      </c>
      <c r="C36" s="1" t="s">
        <v>3</v>
      </c>
      <c r="D36" s="10" t="s">
        <v>63</v>
      </c>
      <c r="E36" s="1">
        <v>2</v>
      </c>
      <c r="F36" s="1" t="s">
        <v>48</v>
      </c>
      <c r="G36" s="2" t="s">
        <v>36</v>
      </c>
      <c r="H36" s="2">
        <v>2.72</v>
      </c>
      <c r="I36" s="2">
        <v>157.80000000000001</v>
      </c>
      <c r="J36" s="2">
        <f>I36-H36</f>
        <v>155.08000000000001</v>
      </c>
      <c r="K36" s="2" t="str">
        <f>IF(ISNUMBER(G36), J36/G36, "NA")</f>
        <v>NA</v>
      </c>
      <c r="L36" s="2">
        <v>51.46</v>
      </c>
      <c r="M36" s="2">
        <f>L36-H36</f>
        <v>48.74</v>
      </c>
      <c r="N36" s="2" t="str">
        <f>IF(ISNUMBER(G36), M36/G36, "NA")</f>
        <v>NA</v>
      </c>
      <c r="O36" s="2">
        <f>(J36-M36)/J36</f>
        <v>0.68571060098013925</v>
      </c>
    </row>
    <row r="37" spans="1:15" x14ac:dyDescent="0.2">
      <c r="A37" s="1" t="s">
        <v>2</v>
      </c>
      <c r="B37" s="1">
        <v>3</v>
      </c>
      <c r="C37" s="1" t="s">
        <v>3</v>
      </c>
      <c r="D37" s="10" t="s">
        <v>63</v>
      </c>
      <c r="E37" s="1">
        <v>3</v>
      </c>
      <c r="F37" s="1" t="s">
        <v>48</v>
      </c>
      <c r="G37" s="2">
        <f>6.25*4.5*5.5</f>
        <v>154.6875</v>
      </c>
      <c r="H37" s="2">
        <v>2.2799999999999998</v>
      </c>
      <c r="I37" s="2">
        <v>174.39</v>
      </c>
      <c r="J37" s="2">
        <f>I37-H37</f>
        <v>172.10999999999999</v>
      </c>
      <c r="K37" s="2">
        <f>IF(ISNUMBER(G37), J37/G37, NA)</f>
        <v>1.1126303030303029</v>
      </c>
      <c r="L37" s="2">
        <v>51.71</v>
      </c>
      <c r="M37" s="2">
        <f>L37-H37</f>
        <v>49.43</v>
      </c>
      <c r="N37" s="2">
        <f>IF(ISNUMBER(G37), M37/G37, "NA")</f>
        <v>0.31954747474747475</v>
      </c>
      <c r="O37" s="2">
        <f>(J37-M37)/J37</f>
        <v>0.71279995351809877</v>
      </c>
    </row>
    <row r="38" spans="1:15" x14ac:dyDescent="0.2">
      <c r="A38" s="1" t="s">
        <v>2</v>
      </c>
      <c r="B38" s="1">
        <v>4</v>
      </c>
      <c r="C38" s="1" t="s">
        <v>3</v>
      </c>
      <c r="D38" s="10" t="s">
        <v>65</v>
      </c>
      <c r="E38" s="1">
        <v>1</v>
      </c>
      <c r="F38" s="1" t="s">
        <v>48</v>
      </c>
      <c r="G38" s="2">
        <f>5.25*3.5*3.75</f>
        <v>68.90625</v>
      </c>
      <c r="H38" s="2">
        <v>2.74</v>
      </c>
      <c r="I38" s="2">
        <v>91.08</v>
      </c>
      <c r="J38" s="2">
        <f>I38-H38</f>
        <v>88.34</v>
      </c>
      <c r="K38" s="2">
        <f>IF(ISNUMBER(G38), J38/G38, NA)</f>
        <v>1.2820317460317461</v>
      </c>
      <c r="L38" s="2">
        <v>32.159999999999997</v>
      </c>
      <c r="M38" s="2">
        <f>L38-H38</f>
        <v>29.419999999999995</v>
      </c>
      <c r="N38" s="2">
        <f>IF(ISNUMBER(G38), M38/G38, "NA")</f>
        <v>0.42695691609977315</v>
      </c>
      <c r="O38" s="2">
        <f>(J38-M38)/J38</f>
        <v>0.66696853067693007</v>
      </c>
    </row>
    <row r="39" spans="1:15" x14ac:dyDescent="0.2">
      <c r="A39" s="1" t="s">
        <v>2</v>
      </c>
      <c r="B39" s="1">
        <v>4</v>
      </c>
      <c r="C39" s="1" t="s">
        <v>3</v>
      </c>
      <c r="D39" s="10" t="s">
        <v>65</v>
      </c>
      <c r="E39" s="1">
        <v>2</v>
      </c>
      <c r="F39" s="1" t="s">
        <v>48</v>
      </c>
      <c r="G39" s="2">
        <f>5.25*5.75*6</f>
        <v>181.125</v>
      </c>
      <c r="H39" s="2">
        <v>2.76</v>
      </c>
      <c r="I39" s="2">
        <v>212.68</v>
      </c>
      <c r="J39" s="2">
        <f>I39-H39</f>
        <v>209.92000000000002</v>
      </c>
      <c r="K39" s="2">
        <f>IF(ISNUMBER(G39), J39/G39, NA)</f>
        <v>1.1589786059351277</v>
      </c>
      <c r="L39" s="2">
        <v>69</v>
      </c>
      <c r="M39" s="2">
        <f>L39-H39</f>
        <v>66.239999999999995</v>
      </c>
      <c r="N39" s="2">
        <f>IF(ISNUMBER(G39), M39/G39, "NA")</f>
        <v>0.36571428571428566</v>
      </c>
      <c r="O39" s="2">
        <f>(J39-M39)/J39</f>
        <v>0.68445121951219512</v>
      </c>
    </row>
    <row r="40" spans="1:15" x14ac:dyDescent="0.2">
      <c r="A40" s="1" t="s">
        <v>2</v>
      </c>
      <c r="B40" s="1">
        <v>4</v>
      </c>
      <c r="C40" s="1" t="s">
        <v>3</v>
      </c>
      <c r="D40" s="10" t="s">
        <v>65</v>
      </c>
      <c r="E40" s="1">
        <v>3</v>
      </c>
      <c r="F40" s="1" t="s">
        <v>48</v>
      </c>
      <c r="G40" s="2">
        <f>5.25*4.75*3.25</f>
        <v>81.046875</v>
      </c>
      <c r="H40" s="2">
        <v>2.6</v>
      </c>
      <c r="I40" s="2">
        <v>117.59</v>
      </c>
      <c r="J40" s="2">
        <f>I40-H40</f>
        <v>114.99000000000001</v>
      </c>
      <c r="K40" s="2">
        <f>IF(ISNUMBER(G40), J40/G40, NA)</f>
        <v>1.4188085598611915</v>
      </c>
      <c r="L40" s="2">
        <v>40.21</v>
      </c>
      <c r="M40" s="2">
        <f>L40-H40</f>
        <v>37.61</v>
      </c>
      <c r="N40" s="2">
        <f>IF(ISNUMBER(G40), M40/G40, "NA")</f>
        <v>0.46405243878928087</v>
      </c>
      <c r="O40" s="2">
        <f>(J40-M40)/J40</f>
        <v>0.67292808070266985</v>
      </c>
    </row>
    <row r="41" spans="1:15" x14ac:dyDescent="0.2">
      <c r="A41" s="1" t="s">
        <v>2</v>
      </c>
      <c r="B41" s="1">
        <v>5</v>
      </c>
      <c r="C41" s="1" t="s">
        <v>3</v>
      </c>
      <c r="D41" s="10" t="s">
        <v>67</v>
      </c>
      <c r="E41" s="1">
        <v>1</v>
      </c>
      <c r="F41" s="1" t="s">
        <v>47</v>
      </c>
      <c r="G41" s="2">
        <f>6.25*3*4</f>
        <v>75</v>
      </c>
      <c r="H41" s="2">
        <v>2.6</v>
      </c>
      <c r="I41" s="2">
        <v>117.45</v>
      </c>
      <c r="J41" s="2">
        <f>I41-H41</f>
        <v>114.85000000000001</v>
      </c>
      <c r="K41" s="2">
        <f>IF(ISNUMBER(G41), J41/G41, NA)</f>
        <v>1.5313333333333334</v>
      </c>
      <c r="L41" s="2">
        <v>46.16</v>
      </c>
      <c r="M41" s="2">
        <f>L41-H41</f>
        <v>43.559999999999995</v>
      </c>
      <c r="N41" s="2">
        <f>IF(ISNUMBER(G41), M41/G41, "NA")</f>
        <v>0.58079999999999998</v>
      </c>
      <c r="O41" s="2">
        <f>(J41-M41)/J41</f>
        <v>0.62072268175881595</v>
      </c>
    </row>
    <row r="42" spans="1:15" x14ac:dyDescent="0.2">
      <c r="A42" s="1" t="s">
        <v>2</v>
      </c>
      <c r="B42" s="1">
        <v>5</v>
      </c>
      <c r="C42" s="1" t="s">
        <v>3</v>
      </c>
      <c r="D42" s="10" t="s">
        <v>67</v>
      </c>
      <c r="E42" s="1">
        <v>2</v>
      </c>
      <c r="F42" s="1" t="s">
        <v>47</v>
      </c>
      <c r="G42" s="2">
        <f>6.75*6.25*4</f>
        <v>168.75</v>
      </c>
      <c r="H42" s="2">
        <v>2.52</v>
      </c>
      <c r="I42" s="2">
        <v>220.72</v>
      </c>
      <c r="J42" s="2">
        <f>I42-H42</f>
        <v>218.2</v>
      </c>
      <c r="K42" s="2">
        <f>IF(ISNUMBER(G42), J42/G42, NA)</f>
        <v>1.293037037037037</v>
      </c>
      <c r="L42" s="2">
        <v>92.57</v>
      </c>
      <c r="M42" s="2">
        <f>L42-H42</f>
        <v>90.05</v>
      </c>
      <c r="N42" s="2">
        <f>IF(ISNUMBER(G42), M42/G42, "NA")</f>
        <v>0.53362962962962956</v>
      </c>
      <c r="O42" s="2">
        <f>(J42-M42)/J42</f>
        <v>0.58730522456461953</v>
      </c>
    </row>
    <row r="43" spans="1:15" x14ac:dyDescent="0.2">
      <c r="A43" s="1" t="s">
        <v>2</v>
      </c>
      <c r="B43" s="1">
        <v>5</v>
      </c>
      <c r="C43" s="1" t="s">
        <v>3</v>
      </c>
      <c r="D43" s="10" t="s">
        <v>67</v>
      </c>
      <c r="E43" s="1">
        <v>3</v>
      </c>
      <c r="F43" s="1" t="s">
        <v>47</v>
      </c>
      <c r="G43" s="2">
        <f>5*3.5*5</f>
        <v>87.5</v>
      </c>
      <c r="H43" s="2">
        <v>2.78</v>
      </c>
      <c r="I43" s="2">
        <v>181.51</v>
      </c>
      <c r="J43" s="2">
        <f>I43-H43</f>
        <v>178.73</v>
      </c>
      <c r="K43" s="2">
        <f>IF(ISNUMBER(G43), J43/G43, NA)</f>
        <v>2.0426285714285712</v>
      </c>
      <c r="L43" s="2">
        <v>131.49</v>
      </c>
      <c r="M43" s="2">
        <f>L43-H43</f>
        <v>128.71</v>
      </c>
      <c r="N43" s="2">
        <f>IF(ISNUMBER(G43), M43/G43, "NA")</f>
        <v>1.4709714285714286</v>
      </c>
      <c r="O43" s="2">
        <f>(J43-M43)/J43</f>
        <v>0.27986348122866883</v>
      </c>
    </row>
    <row r="44" spans="1:15" x14ac:dyDescent="0.2">
      <c r="A44" s="1" t="s">
        <v>5</v>
      </c>
      <c r="B44" s="1">
        <v>6</v>
      </c>
      <c r="C44" s="1" t="s">
        <v>3</v>
      </c>
      <c r="D44" s="10" t="s">
        <v>69</v>
      </c>
      <c r="E44" s="1">
        <v>1</v>
      </c>
      <c r="F44" s="1" t="s">
        <v>47</v>
      </c>
      <c r="G44" s="2">
        <f>5*4*4.5</f>
        <v>90</v>
      </c>
      <c r="H44" s="2">
        <v>2.76</v>
      </c>
      <c r="I44" s="2">
        <v>119.83</v>
      </c>
      <c r="J44" s="2">
        <f>I44-H44</f>
        <v>117.07</v>
      </c>
      <c r="K44" s="2">
        <f>IF(ISNUMBER(G44), J44/G44, NA)</f>
        <v>1.3007777777777778</v>
      </c>
      <c r="L44" s="2">
        <v>28</v>
      </c>
      <c r="M44" s="2">
        <f>L44-H44</f>
        <v>25.240000000000002</v>
      </c>
      <c r="N44" s="2">
        <f>IF(ISNUMBER(G44), M44/G44, "NA")</f>
        <v>0.28044444444444444</v>
      </c>
      <c r="O44" s="2">
        <f>(J44-M44)/J44</f>
        <v>0.78440249423421871</v>
      </c>
    </row>
    <row r="45" spans="1:15" x14ac:dyDescent="0.2">
      <c r="A45" s="1" t="s">
        <v>5</v>
      </c>
      <c r="B45" s="1">
        <v>6</v>
      </c>
      <c r="C45" s="1" t="s">
        <v>3</v>
      </c>
      <c r="D45" s="10" t="s">
        <v>69</v>
      </c>
      <c r="E45" s="1">
        <v>2</v>
      </c>
      <c r="F45" s="1" t="s">
        <v>47</v>
      </c>
      <c r="G45" s="2">
        <f>6.5*4.25*4.5</f>
        <v>124.3125</v>
      </c>
      <c r="H45" s="2">
        <v>3.02</v>
      </c>
      <c r="I45" s="2">
        <v>148.94999999999999</v>
      </c>
      <c r="J45" s="2">
        <f>I45-H45</f>
        <v>145.92999999999998</v>
      </c>
      <c r="K45" s="2">
        <f>IF(ISNUMBER(G45), J45/G45, NA)</f>
        <v>1.1738964303670185</v>
      </c>
      <c r="L45" s="2">
        <v>34.44</v>
      </c>
      <c r="M45" s="2">
        <f>L45-H45</f>
        <v>31.419999999999998</v>
      </c>
      <c r="N45" s="2">
        <f>IF(ISNUMBER(G45), M45/G45, "NA")</f>
        <v>0.25275012569130217</v>
      </c>
      <c r="O45" s="2">
        <f>(J45-M45)/J45</f>
        <v>0.78469129034468577</v>
      </c>
    </row>
    <row r="46" spans="1:15" x14ac:dyDescent="0.2">
      <c r="A46" s="1" t="s">
        <v>5</v>
      </c>
      <c r="B46" s="1">
        <v>6</v>
      </c>
      <c r="C46" s="1" t="s">
        <v>3</v>
      </c>
      <c r="D46" s="10" t="s">
        <v>69</v>
      </c>
      <c r="E46" s="1">
        <v>3</v>
      </c>
      <c r="F46" s="1" t="s">
        <v>47</v>
      </c>
      <c r="G46" s="2">
        <f>5.25*5.75*4.75</f>
        <v>143.390625</v>
      </c>
      <c r="H46" s="2">
        <v>3.24</v>
      </c>
      <c r="I46" s="2">
        <v>158.19</v>
      </c>
      <c r="J46" s="2">
        <f>I46-H46</f>
        <v>154.94999999999999</v>
      </c>
      <c r="K46" s="2">
        <f>IF(ISNUMBER(G46), J46/G46, NA)</f>
        <v>1.0806145799280811</v>
      </c>
      <c r="L46" s="2">
        <v>33.270000000000003</v>
      </c>
      <c r="M46" s="2">
        <f>L46-H46</f>
        <v>30.03</v>
      </c>
      <c r="N46" s="2">
        <f>IF(ISNUMBER(G46), M46/G46, "NA")</f>
        <v>0.20942791762013729</v>
      </c>
      <c r="O46" s="2">
        <f>(J46-M46)/J46</f>
        <v>0.80619554695062923</v>
      </c>
    </row>
    <row r="47" spans="1:15" x14ac:dyDescent="0.2">
      <c r="A47" s="1" t="s">
        <v>5</v>
      </c>
      <c r="B47" s="1">
        <v>7</v>
      </c>
      <c r="C47" s="1" t="s">
        <v>3</v>
      </c>
      <c r="D47" s="10" t="s">
        <v>71</v>
      </c>
      <c r="E47" s="1">
        <v>1</v>
      </c>
      <c r="F47" s="1" t="s">
        <v>47</v>
      </c>
      <c r="G47" s="2">
        <f>8*4.75*4.75</f>
        <v>180.5</v>
      </c>
      <c r="H47" s="2">
        <v>2.98</v>
      </c>
      <c r="I47" s="2">
        <v>179.2</v>
      </c>
      <c r="J47" s="2">
        <f>I47-H47</f>
        <v>176.22</v>
      </c>
      <c r="K47" s="2">
        <f>IF(ISNUMBER(G47), J47/G47, NA)</f>
        <v>0.97628808864265926</v>
      </c>
      <c r="L47" s="2">
        <v>39.83</v>
      </c>
      <c r="M47" s="2">
        <f>L47-H47</f>
        <v>36.85</v>
      </c>
      <c r="N47" s="2">
        <f>IF(ISNUMBER(G47), M47/G47, "NA")</f>
        <v>0.20415512465373961</v>
      </c>
      <c r="O47" s="2">
        <f>(J47-M47)/J47</f>
        <v>0.79088639200998756</v>
      </c>
    </row>
    <row r="48" spans="1:15" x14ac:dyDescent="0.2">
      <c r="A48" s="1" t="s">
        <v>5</v>
      </c>
      <c r="B48" s="1">
        <v>7</v>
      </c>
      <c r="C48" s="1" t="s">
        <v>3</v>
      </c>
      <c r="D48" s="10" t="s">
        <v>71</v>
      </c>
      <c r="E48" s="1">
        <v>2</v>
      </c>
      <c r="F48" s="1" t="s">
        <v>47</v>
      </c>
      <c r="G48" s="2">
        <f>4*4.25*7.25</f>
        <v>123.25</v>
      </c>
      <c r="H48" s="2">
        <v>3.26</v>
      </c>
      <c r="I48" s="2">
        <v>143.44</v>
      </c>
      <c r="J48" s="2">
        <f>I48-H48</f>
        <v>140.18</v>
      </c>
      <c r="K48" s="2">
        <f>IF(ISNUMBER(G48), J48/G48, NA)</f>
        <v>1.1373630831643002</v>
      </c>
      <c r="L48" s="2">
        <v>33.46</v>
      </c>
      <c r="M48" s="2">
        <f>L48-H48</f>
        <v>30.200000000000003</v>
      </c>
      <c r="N48" s="2">
        <f>IF(ISNUMBER(G48), M48/G48, "NA")</f>
        <v>0.24503042596348887</v>
      </c>
      <c r="O48" s="2">
        <f>(J48-M48)/J48</f>
        <v>0.78456270509345127</v>
      </c>
    </row>
    <row r="49" spans="1:15" x14ac:dyDescent="0.2">
      <c r="A49" s="1" t="s">
        <v>5</v>
      </c>
      <c r="B49" s="1">
        <v>7</v>
      </c>
      <c r="C49" s="1" t="s">
        <v>3</v>
      </c>
      <c r="D49" s="10" t="s">
        <v>71</v>
      </c>
      <c r="E49" s="1">
        <v>3</v>
      </c>
      <c r="F49" s="1" t="s">
        <v>47</v>
      </c>
      <c r="G49" s="2">
        <f>6.75*3.5*7</f>
        <v>165.375</v>
      </c>
      <c r="H49" s="2">
        <v>2.88</v>
      </c>
      <c r="I49" s="2">
        <v>156.68</v>
      </c>
      <c r="J49" s="2">
        <f>I49-H49</f>
        <v>153.80000000000001</v>
      </c>
      <c r="K49" s="2">
        <f>IF(ISNUMBER(G49), J49/G49, NA)</f>
        <v>0.9300075585789872</v>
      </c>
      <c r="L49" s="2">
        <v>43.76</v>
      </c>
      <c r="M49" s="2">
        <f>L49-H49</f>
        <v>40.879999999999995</v>
      </c>
      <c r="N49" s="2">
        <f>IF(ISNUMBER(G49), M49/G49, "NA")</f>
        <v>0.24719576719576716</v>
      </c>
      <c r="O49" s="2">
        <f>(J49-M49)/J49</f>
        <v>0.73420026007802341</v>
      </c>
    </row>
    <row r="50" spans="1:15" x14ac:dyDescent="0.2">
      <c r="A50" s="1" t="s">
        <v>6</v>
      </c>
      <c r="B50" s="1">
        <v>10</v>
      </c>
      <c r="C50" s="1" t="s">
        <v>3</v>
      </c>
      <c r="D50" s="10"/>
      <c r="E50" s="1">
        <v>1</v>
      </c>
      <c r="F50" s="1" t="s">
        <v>48</v>
      </c>
      <c r="G50" s="2">
        <f>7.5*6.25*5.5</f>
        <v>257.8125</v>
      </c>
      <c r="H50" s="2">
        <v>3.16</v>
      </c>
      <c r="I50" s="2">
        <v>282.08</v>
      </c>
      <c r="J50" s="2">
        <f>I50-H50</f>
        <v>278.91999999999996</v>
      </c>
      <c r="K50" s="2">
        <f>IF(ISNUMBER(G50), J50/G50, NA)</f>
        <v>1.081871515151515</v>
      </c>
      <c r="L50" s="2">
        <v>94.84</v>
      </c>
      <c r="M50" s="2">
        <f>L50-H50</f>
        <v>91.68</v>
      </c>
      <c r="N50" s="2">
        <f>IF(ISNUMBER(G50), M50/G50, "NA")</f>
        <v>0.35560727272727277</v>
      </c>
      <c r="O50" s="2">
        <f>(J50-M50)/J50</f>
        <v>0.6713035995984511</v>
      </c>
    </row>
    <row r="51" spans="1:15" x14ac:dyDescent="0.2">
      <c r="A51" s="1" t="s">
        <v>6</v>
      </c>
      <c r="B51" s="1">
        <v>10</v>
      </c>
      <c r="C51" s="1" t="s">
        <v>3</v>
      </c>
      <c r="D51" s="10"/>
      <c r="E51" s="1">
        <v>2</v>
      </c>
      <c r="F51" s="1" t="s">
        <v>48</v>
      </c>
      <c r="G51" s="2">
        <f>6.5*5.5*5</f>
        <v>178.75</v>
      </c>
      <c r="H51" s="2">
        <v>2.89</v>
      </c>
      <c r="I51" s="2">
        <v>185.47</v>
      </c>
      <c r="J51" s="2">
        <f>I51-H51</f>
        <v>182.58</v>
      </c>
      <c r="K51" s="2">
        <f>IF(ISNUMBER(G51), J51/G51, NA)</f>
        <v>1.0214265734265735</v>
      </c>
      <c r="L51" s="2">
        <v>66.92</v>
      </c>
      <c r="M51" s="2">
        <f>L51-H51</f>
        <v>64.03</v>
      </c>
      <c r="N51" s="2">
        <f>IF(ISNUMBER(G51), M51/G51, "NA")</f>
        <v>0.35820979020979021</v>
      </c>
      <c r="O51" s="2">
        <f>(J51-M51)/J51</f>
        <v>0.64930441450323151</v>
      </c>
    </row>
    <row r="52" spans="1:15" x14ac:dyDescent="0.2">
      <c r="A52" s="1" t="s">
        <v>6</v>
      </c>
      <c r="B52" s="1">
        <v>10</v>
      </c>
      <c r="C52" s="1" t="s">
        <v>3</v>
      </c>
      <c r="D52" s="10"/>
      <c r="E52" s="1">
        <v>3</v>
      </c>
      <c r="F52" s="1" t="s">
        <v>48</v>
      </c>
      <c r="G52" s="2">
        <f>6.5*7*6.5</f>
        <v>295.75</v>
      </c>
      <c r="H52" s="2">
        <v>3.24</v>
      </c>
      <c r="I52" s="2">
        <v>363.62</v>
      </c>
      <c r="J52" s="2">
        <f>I52-H52</f>
        <v>360.38</v>
      </c>
      <c r="K52" s="2">
        <f>IF(ISNUMBER(G52), J52/G52, NA)</f>
        <v>1.2185291631445478</v>
      </c>
      <c r="L52" s="2">
        <v>116.92</v>
      </c>
      <c r="M52" s="2">
        <f>L52-H52</f>
        <v>113.68</v>
      </c>
      <c r="N52" s="2">
        <f>IF(ISNUMBER(G52), M52/G52, "NA")</f>
        <v>0.3843786982248521</v>
      </c>
      <c r="O52" s="2">
        <f>(J52-M52)/J52</f>
        <v>0.68455519174205004</v>
      </c>
    </row>
    <row r="53" spans="1:15" x14ac:dyDescent="0.2">
      <c r="A53" s="1" t="s">
        <v>6</v>
      </c>
      <c r="B53" s="1">
        <v>11</v>
      </c>
      <c r="C53" s="1" t="s">
        <v>3</v>
      </c>
      <c r="D53" s="10"/>
      <c r="E53" s="1">
        <v>1</v>
      </c>
      <c r="F53" s="1" t="s">
        <v>48</v>
      </c>
      <c r="G53" s="2">
        <f>6*6.25*5.5</f>
        <v>206.25</v>
      </c>
      <c r="H53" s="2">
        <v>2.59</v>
      </c>
      <c r="I53" s="2">
        <v>173.71</v>
      </c>
      <c r="J53" s="2">
        <f>I53-H53</f>
        <v>171.12</v>
      </c>
      <c r="K53" s="2">
        <f>IF(ISNUMBER(G53), J53/G53, NA)</f>
        <v>0.82967272727272734</v>
      </c>
      <c r="L53" s="2">
        <v>52.05</v>
      </c>
      <c r="M53" s="2">
        <f>L53-H53</f>
        <v>49.459999999999994</v>
      </c>
      <c r="N53" s="2">
        <f>IF(ISNUMBER(G53), M53/G53, "NA")</f>
        <v>0.23980606060606058</v>
      </c>
      <c r="O53" s="2">
        <f>(J53-M53)/J53</f>
        <v>0.71096306685366994</v>
      </c>
    </row>
    <row r="54" spans="1:15" x14ac:dyDescent="0.2">
      <c r="A54" s="1" t="s">
        <v>6</v>
      </c>
      <c r="B54" s="1">
        <v>11</v>
      </c>
      <c r="C54" s="1" t="s">
        <v>3</v>
      </c>
      <c r="D54" s="10"/>
      <c r="E54" s="1">
        <v>2</v>
      </c>
      <c r="F54" s="1" t="s">
        <v>48</v>
      </c>
      <c r="G54" s="2">
        <f>6.5*7*6</f>
        <v>273</v>
      </c>
      <c r="H54" s="2">
        <v>2.88</v>
      </c>
      <c r="I54" s="2">
        <v>285.70999999999998</v>
      </c>
      <c r="J54" s="2">
        <f>I54-H54</f>
        <v>282.83</v>
      </c>
      <c r="K54" s="2">
        <f>IF(ISNUMBER(G54), J54/G54, NA)</f>
        <v>1.0360073260073259</v>
      </c>
      <c r="L54" s="2">
        <v>90.89</v>
      </c>
      <c r="M54" s="2">
        <f>L54-H54</f>
        <v>88.01</v>
      </c>
      <c r="N54" s="2">
        <f>IF(ISNUMBER(G54), M54/G54, "NA")</f>
        <v>0.32238095238095238</v>
      </c>
      <c r="O54" s="2">
        <f>(J54-M54)/J54</f>
        <v>0.68882367499911612</v>
      </c>
    </row>
    <row r="55" spans="1:15" x14ac:dyDescent="0.2">
      <c r="A55" s="1" t="s">
        <v>6</v>
      </c>
      <c r="B55" s="1">
        <v>11</v>
      </c>
      <c r="C55" s="1" t="s">
        <v>3</v>
      </c>
      <c r="D55" s="10"/>
      <c r="E55" s="1">
        <v>3</v>
      </c>
      <c r="F55" s="1" t="s">
        <v>48</v>
      </c>
      <c r="G55" s="2">
        <f>6*5*5.5</f>
        <v>165</v>
      </c>
      <c r="H55" s="2">
        <v>2.48</v>
      </c>
      <c r="I55" s="2">
        <v>176.15</v>
      </c>
      <c r="J55" s="2">
        <f>I55-H55</f>
        <v>173.67000000000002</v>
      </c>
      <c r="K55" s="2">
        <f>IF(ISNUMBER(G55), J55/G55, NA)</f>
        <v>1.0525454545454547</v>
      </c>
      <c r="L55" s="2">
        <v>53.69</v>
      </c>
      <c r="M55" s="2">
        <f>L55-H55</f>
        <v>51.21</v>
      </c>
      <c r="N55" s="2">
        <f>IF(ISNUMBER(G55), M55/G55, "NA")</f>
        <v>0.31036363636363634</v>
      </c>
      <c r="O55" s="2">
        <f>(J55-M55)/J55</f>
        <v>0.70513041976161683</v>
      </c>
    </row>
  </sheetData>
  <sortState ref="A2:O55">
    <sortCondition ref="C2:C55"/>
    <sortCondition ref="B2:B55"/>
    <sortCondition ref="E2:E5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sapelo_field_data_soil_data.csv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2015-11-04T23:14:14Z</dcterms:created>
  <dcterms:modified xsi:type="dcterms:W3CDTF">2015-12-16T20:04:46Z</dcterms:modified>
</cp:coreProperties>
</file>